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https://mailmissouri-my.sharepoint.com/personal/knappv_umsystem_edu/Documents/Documents/ABP pubs/2026 BUDGETS/3-Final/SEMO/"/>
    </mc:Choice>
  </mc:AlternateContent>
  <xr:revisionPtr revIDLastSave="1" documentId="8_{CBC53BC1-ADC4-41D3-B9BC-DD8F1DB5A36C}" xr6:coauthVersionLast="47" xr6:coauthVersionMax="47" xr10:uidLastSave="{872479FC-6181-4108-A587-20FB4C588730}"/>
  <bookViews>
    <workbookView xWindow="975" yWindow="1575" windowWidth="29190" windowHeight="11295" xr2:uid="{FAC174F4-7D43-4EA3-A500-0F143CECDBCD}"/>
  </bookViews>
  <sheets>
    <sheet name="Introduction" sheetId="9" r:id="rId1"/>
    <sheet name="Input prices" sheetId="8" r:id="rId2"/>
    <sheet name="Machinery Input Tables" sheetId="28" state="hidden" r:id="rId3"/>
    <sheet name="Irrigation costs" sheetId="25" r:id="rId4"/>
    <sheet name="Corn" sheetId="39" r:id="rId5"/>
    <sheet name="Soybean" sheetId="40" r:id="rId6"/>
    <sheet name="DC soybean" sheetId="41" r:id="rId7"/>
    <sheet name="Cotton" sheetId="42" r:id="rId8"/>
    <sheet name="Peanut" sheetId="43" r:id="rId9"/>
    <sheet name="Hybrid rice" sheetId="44" r:id="rId10"/>
    <sheet name="Conventional rice" sheetId="45" r:id="rId11"/>
    <sheet name="Winter wheat" sheetId="46" r:id="rId12"/>
    <sheet name="DC milo" sheetId="47" r:id="rId13"/>
    <sheet name="Winter Canola" sheetId="48" r:id="rId14"/>
    <sheet name="Summary" sheetId="38" r:id="rId15"/>
  </sheet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acres">#REF!</definedName>
    <definedName name="Boom_Sprayer">#REF!</definedName>
    <definedName name="Boom_Sprayer_SP">#REF!</definedName>
    <definedName name="byyield">#REF!</definedName>
    <definedName name="Chisel_Plow">#REF!</definedName>
    <definedName name="Chisel_Plow_FD">#REF!</definedName>
    <definedName name="Comb_Disk_VRipper">#REF!</definedName>
    <definedName name="Comb_Fld_Cult_Incorp">#REF!</definedName>
    <definedName name="Combine_Size">#REF!</definedName>
    <definedName name="Cornhead_Size">#REF!</definedName>
    <definedName name="crop">#REF!</definedName>
    <definedName name="cropnum">#REF!</definedName>
    <definedName name="Crops">#REF!</definedName>
    <definedName name="Cultivator">#REF!</definedName>
    <definedName name="Cultivator_HR">#REF!</definedName>
    <definedName name="customhire2">#REF!,#REF!</definedName>
    <definedName name="CustomImps">#REF!</definedName>
    <definedName name="Disc_Mower">#REF!</definedName>
    <definedName name="Disk">#REF!</definedName>
    <definedName name="Disk_Mower">#REF!</definedName>
    <definedName name="drying">#REF!,#REF!</definedName>
    <definedName name="Field_Cultivator">#REF!</definedName>
    <definedName name="Grain_Auger">#REF!</definedName>
    <definedName name="Graincart">#REF!</definedName>
    <definedName name="Grainhead_Size">#REF!</definedName>
    <definedName name="Harrow">#REF!</definedName>
    <definedName name="hauling">#REF!,#REF!</definedName>
    <definedName name="herbicide2">#REF!,#REF!</definedName>
    <definedName name="ImplSel">#REF!</definedName>
    <definedName name="import">#REF!</definedName>
    <definedName name="income">#REF!</definedName>
    <definedName name="insecticide2">#REF!,#REF!</definedName>
    <definedName name="Irrigation">#REF!</definedName>
    <definedName name="irrigation2">#REF!</definedName>
    <definedName name="lease_arrangement">#REF!</definedName>
    <definedName name="leasenum">#REF!</definedName>
    <definedName name="mdbvalues">#REF!,#REF!,#REF!,#REF!</definedName>
    <definedName name="Moldboard_Plow">#REF!</definedName>
    <definedName name="NoTill_Drill">#REF!</definedName>
    <definedName name="NoTill_Planter">#REF!</definedName>
    <definedName name="Passes">#REF!,#REF!,#REF!,#REF!</definedName>
    <definedName name="Planter">#REF!</definedName>
    <definedName name="postharvest">#REF!,#REF!,#REF!</definedName>
    <definedName name="power">#REF!,#REF!,#REF!,#REF!,#REF!,#REF!</definedName>
    <definedName name="Power_Size">#REF!</definedName>
    <definedName name="PowerSel">#REF!</definedName>
    <definedName name="Presswheel_Drill">#REF!</definedName>
    <definedName name="Primary_Units">#REF!</definedName>
    <definedName name="primyield">#REF!</definedName>
    <definedName name="_xlnm.Print_Area" localSheetId="10">'Conventional rice'!$B$2:$F$49,'Conventional rice'!$B$51:$I$75,'Conventional rice'!$H$3:$P$12</definedName>
    <definedName name="_xlnm.Print_Area" localSheetId="4">Corn!$B$2:$F$49,Corn!$B$51:$I$75,Corn!$H$3:$P$12</definedName>
    <definedName name="_xlnm.Print_Area" localSheetId="7">Cotton!$B$2:$F$50,Cotton!$B$52:$I$76,Cotton!$H$3:$P$12</definedName>
    <definedName name="_xlnm.Print_Area" localSheetId="12">'DC milo'!$B$2:$F$50,'DC milo'!$B$52:$I$76,'DC milo'!$H$3:$P$12</definedName>
    <definedName name="_xlnm.Print_Area" localSheetId="6">'DC soybean'!$B$2:$F$50,'DC soybean'!$B$52:$I$76,'DC soybean'!$H$3:$P$12</definedName>
    <definedName name="_xlnm.Print_Area" localSheetId="9">'Hybrid rice'!$B$2:$F$49,'Hybrid rice'!$B$51:$I$75,'Hybrid rice'!$H$3:$P$12</definedName>
    <definedName name="_xlnm.Print_Area" localSheetId="8">Peanut!$B$2:$F$50,Peanut!$B$52:$I$76,Peanut!$H$3:$P$12</definedName>
    <definedName name="_xlnm.Print_Area" localSheetId="5">Soybean!$B$2:$F$50,Soybean!$B$52:$I$76,Soybean!$H$3:$P$12</definedName>
    <definedName name="_xlnm.Print_Area" localSheetId="13">'Winter Canola'!$B$2:$F$50,'Winter Canola'!$B$52:$I$76,'Winter Canola'!$H$3:$P$12</definedName>
    <definedName name="_xlnm.Print_Area" localSheetId="11">'Winter wheat'!$B$2:$F$50,'Winter wheat'!$B$52:$I$76,'Winter wheat'!$H$3:$P$12</definedName>
    <definedName name="PUAlloc">#REF!</definedName>
    <definedName name="PUMiles">#REF!</definedName>
    <definedName name="rental">#REF!,#REF!,#REF!,#REF!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ller_Bar_Rake">#REF!</definedName>
    <definedName name="Round_Baler_Tie">#REF!</definedName>
    <definedName name="seed2">#REF!,#REF!,#REF!</definedName>
    <definedName name="SemiAlloc">#REF!</definedName>
    <definedName name="SemiMiles">#REF!</definedName>
    <definedName name="Silage_Wrapper">#REF!</definedName>
    <definedName name="Soybeanhead_Size">#REF!</definedName>
    <definedName name="SplitRow_Planter">#REF!</definedName>
    <definedName name="storage">#REF!,#REF!</definedName>
    <definedName name="Swather_Mower_Conditioner">#REF!</definedName>
    <definedName name="Tandem_Disk">#REF!</definedName>
    <definedName name="TenWheelAlloc">#REF!</definedName>
    <definedName name="TenWheelMiles">#REF!</definedName>
    <definedName name="VRipper">#REF!</definedName>
    <definedName name="Wheel_Rake">#REF!</definedName>
    <definedName name="wrn.all." localSheetId="10" hidden="1">{"detail",#N/A,FALSE,"Trac_Table";"tractable",#N/A,FALSE,"Trac_Table";"sensitivity",#N/A,FALSE,"Trac_Table"}</definedName>
    <definedName name="wrn.all." localSheetId="4" hidden="1">{"detail",#N/A,FALSE,"Trac_Table";"tractable",#N/A,FALSE,"Trac_Table";"sensitivity",#N/A,FALSE,"Trac_Table"}</definedName>
    <definedName name="wrn.all." localSheetId="7" hidden="1">{"detail",#N/A,FALSE,"Trac_Table";"tractable",#N/A,FALSE,"Trac_Table";"sensitivity",#N/A,FALSE,"Trac_Table"}</definedName>
    <definedName name="wrn.all." localSheetId="12" hidden="1">{"detail",#N/A,FALSE,"Trac_Table";"tractable",#N/A,FALSE,"Trac_Table";"sensitivity",#N/A,FALSE,"Trac_Table"}</definedName>
    <definedName name="wrn.all." localSheetId="6" hidden="1">{"detail",#N/A,FALSE,"Trac_Table";"tractable",#N/A,FALSE,"Trac_Table";"sensitivity",#N/A,FALSE,"Trac_Table"}</definedName>
    <definedName name="wrn.all." localSheetId="9" hidden="1">{"detail",#N/A,FALSE,"Trac_Table";"tractable",#N/A,FALSE,"Trac_Table";"sensitivity",#N/A,FALSE,"Trac_Table"}</definedName>
    <definedName name="wrn.all." localSheetId="8" hidden="1">{"detail",#N/A,FALSE,"Trac_Table";"tractable",#N/A,FALSE,"Trac_Table";"sensitivity",#N/A,FALSE,"Trac_Table"}</definedName>
    <definedName name="wrn.all." localSheetId="5" hidden="1">{"detail",#N/A,FALSE,"Trac_Table";"tractable",#N/A,FALSE,"Trac_Table";"sensitivity",#N/A,FALSE,"Trac_Table"}</definedName>
    <definedName name="wrn.all." localSheetId="13" hidden="1">{"detail",#N/A,FALSE,"Trac_Table";"tractable",#N/A,FALSE,"Trac_Table";"sensitivity",#N/A,FALSE,"Trac_Table"}</definedName>
    <definedName name="wrn.all." localSheetId="11" hidden="1">{"detail",#N/A,FALSE,"Trac_Table";"tractable",#N/A,FALSE,"Trac_Table";"sensitivity",#N/A,FALSE,"Trac_Table"}</definedName>
    <definedName name="wrn.all." hidden="1">{"detail",#N/A,FALSE,"Trac_Table";"tractable",#N/A,FALSE,"Trac_Table";"sensitivity",#N/A,FALSE,"Trac_Table"}</definedName>
    <definedName name="ww">#REF!</definedName>
    <definedName name="yiel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32" i="47" l="1"/>
  <c r="BP7" i="28"/>
  <c r="BP10" i="28"/>
  <c r="BP6" i="28"/>
  <c r="H72" i="44"/>
  <c r="G72" i="44"/>
  <c r="H71" i="44"/>
  <c r="G71" i="44"/>
  <c r="F62" i="45"/>
  <c r="E24" i="47" l="1"/>
  <c r="E17" i="25"/>
  <c r="F17" i="25"/>
  <c r="D17" i="25"/>
  <c r="E24" i="46"/>
  <c r="E23" i="44"/>
  <c r="E24" i="48"/>
  <c r="E23" i="45"/>
  <c r="E25" i="43"/>
  <c r="E25" i="42"/>
  <c r="E24" i="40"/>
  <c r="E23" i="39"/>
  <c r="E24" i="41"/>
  <c r="D16" i="25"/>
  <c r="D182" i="28" l="1"/>
  <c r="D181" i="28"/>
  <c r="D180" i="28"/>
  <c r="D179" i="28"/>
  <c r="D178" i="28"/>
  <c r="D177" i="28"/>
  <c r="D176" i="28"/>
  <c r="D175" i="28"/>
  <c r="D174" i="28"/>
  <c r="D173" i="28"/>
  <c r="D172" i="28"/>
  <c r="D171" i="28"/>
  <c r="D170" i="28"/>
  <c r="D169" i="28"/>
  <c r="D168" i="28"/>
  <c r="D167" i="28"/>
  <c r="D166" i="28"/>
  <c r="D165" i="28"/>
  <c r="D164" i="28"/>
  <c r="D163" i="28"/>
  <c r="D162" i="28"/>
  <c r="D161" i="28"/>
  <c r="D160" i="28"/>
  <c r="D159" i="28"/>
  <c r="D158" i="28"/>
  <c r="D157" i="28"/>
  <c r="D156" i="28"/>
  <c r="D155" i="28"/>
  <c r="D154" i="28"/>
  <c r="D153" i="28"/>
  <c r="D152" i="28"/>
  <c r="D151" i="28"/>
  <c r="D150" i="28"/>
  <c r="D149" i="28"/>
  <c r="D148" i="28"/>
  <c r="D147" i="28"/>
  <c r="D146" i="28"/>
  <c r="D145" i="28"/>
  <c r="D144" i="28"/>
  <c r="D143" i="28"/>
  <c r="D142" i="28"/>
  <c r="D141" i="28"/>
  <c r="D140" i="28"/>
  <c r="D139" i="28"/>
  <c r="D138" i="28"/>
  <c r="D137" i="28"/>
  <c r="D136" i="28"/>
  <c r="D135" i="28"/>
  <c r="D134" i="28"/>
  <c r="D133" i="28"/>
  <c r="AC121" i="28"/>
  <c r="M121" i="28"/>
  <c r="K121" i="28"/>
  <c r="AB121" i="28" s="1"/>
  <c r="J121" i="28"/>
  <c r="AC120" i="28"/>
  <c r="M120" i="28"/>
  <c r="K120" i="28"/>
  <c r="AB120" i="28" s="1"/>
  <c r="J120" i="28"/>
  <c r="B120" i="28"/>
  <c r="AC119" i="28"/>
  <c r="M119" i="28"/>
  <c r="K119" i="28"/>
  <c r="AB119" i="28" s="1"/>
  <c r="J119" i="28"/>
  <c r="B119" i="28"/>
  <c r="AC118" i="28"/>
  <c r="M118" i="28"/>
  <c r="K118" i="28"/>
  <c r="AB118" i="28" s="1"/>
  <c r="J118" i="28"/>
  <c r="B118" i="28"/>
  <c r="AC117" i="28"/>
  <c r="M117" i="28"/>
  <c r="K117" i="28"/>
  <c r="AB117" i="28" s="1"/>
  <c r="J117" i="28"/>
  <c r="B117" i="28"/>
  <c r="AC116" i="28"/>
  <c r="M116" i="28"/>
  <c r="K116" i="28"/>
  <c r="AB116" i="28" s="1"/>
  <c r="J116" i="28"/>
  <c r="E116" i="28"/>
  <c r="B116" i="28" s="1"/>
  <c r="AC115" i="28"/>
  <c r="M115" i="28"/>
  <c r="K115" i="28"/>
  <c r="AB115" i="28" s="1"/>
  <c r="J115" i="28"/>
  <c r="E115" i="28"/>
  <c r="B115" i="28"/>
  <c r="AC114" i="28"/>
  <c r="M114" i="28"/>
  <c r="K114" i="28"/>
  <c r="AB114" i="28" s="1"/>
  <c r="J114" i="28"/>
  <c r="E114" i="28"/>
  <c r="B114" i="28"/>
  <c r="AC113" i="28"/>
  <c r="M113" i="28"/>
  <c r="K113" i="28"/>
  <c r="AB113" i="28" s="1"/>
  <c r="J113" i="28"/>
  <c r="B113" i="28"/>
  <c r="AC112" i="28"/>
  <c r="M112" i="28"/>
  <c r="K112" i="28"/>
  <c r="AB112" i="28" s="1"/>
  <c r="J112" i="28"/>
  <c r="B112" i="28"/>
  <c r="AC111" i="28"/>
  <c r="M111" i="28"/>
  <c r="K111" i="28"/>
  <c r="J111" i="28"/>
  <c r="B111" i="28"/>
  <c r="AC110" i="28"/>
  <c r="M110" i="28"/>
  <c r="K110" i="28"/>
  <c r="T110" i="28" s="1"/>
  <c r="U110" i="28" s="1"/>
  <c r="J110" i="28"/>
  <c r="B110" i="28"/>
  <c r="AC109" i="28"/>
  <c r="M109" i="28"/>
  <c r="K109" i="28"/>
  <c r="J109" i="28"/>
  <c r="B109" i="28"/>
  <c r="AC108" i="28"/>
  <c r="M108" i="28"/>
  <c r="K108" i="28"/>
  <c r="X108" i="28" s="1"/>
  <c r="AB108" i="28" s="1"/>
  <c r="J108" i="28"/>
  <c r="B108" i="28"/>
  <c r="AC107" i="28"/>
  <c r="M107" i="28"/>
  <c r="K107" i="28"/>
  <c r="J107" i="28"/>
  <c r="B107" i="28"/>
  <c r="AC106" i="28"/>
  <c r="M106" i="28"/>
  <c r="K106" i="28"/>
  <c r="AB106" i="28" s="1"/>
  <c r="J106" i="28"/>
  <c r="E106" i="28"/>
  <c r="B106" i="28" s="1"/>
  <c r="AC105" i="28"/>
  <c r="M105" i="28"/>
  <c r="K105" i="28"/>
  <c r="AB105" i="28" s="1"/>
  <c r="J105" i="28"/>
  <c r="E105" i="28"/>
  <c r="B105" i="28" s="1"/>
  <c r="AC104" i="28"/>
  <c r="M104" i="28"/>
  <c r="K104" i="28"/>
  <c r="AB104" i="28" s="1"/>
  <c r="J104" i="28"/>
  <c r="E104" i="28"/>
  <c r="B104" i="28" s="1"/>
  <c r="AC103" i="28"/>
  <c r="M103" i="28"/>
  <c r="K103" i="28"/>
  <c r="J103" i="28"/>
  <c r="E103" i="28"/>
  <c r="B103" i="28" s="1"/>
  <c r="AC102" i="28"/>
  <c r="M102" i="28"/>
  <c r="K102" i="28"/>
  <c r="AB102" i="28" s="1"/>
  <c r="J102" i="28"/>
  <c r="E102" i="28"/>
  <c r="B102" i="28" s="1"/>
  <c r="AC101" i="28"/>
  <c r="M101" i="28"/>
  <c r="K101" i="28"/>
  <c r="AB101" i="28" s="1"/>
  <c r="J101" i="28"/>
  <c r="B101" i="28"/>
  <c r="AC100" i="28"/>
  <c r="M100" i="28"/>
  <c r="K100" i="28"/>
  <c r="AB100" i="28" s="1"/>
  <c r="J100" i="28"/>
  <c r="B100" i="28"/>
  <c r="AC99" i="28"/>
  <c r="M99" i="28"/>
  <c r="K99" i="28"/>
  <c r="J99" i="28"/>
  <c r="B99" i="28"/>
  <c r="AC98" i="28"/>
  <c r="M98" i="28"/>
  <c r="K98" i="28"/>
  <c r="AB98" i="28" s="1"/>
  <c r="J98" i="28"/>
  <c r="E98" i="28"/>
  <c r="B98" i="28"/>
  <c r="AC97" i="28"/>
  <c r="M97" i="28"/>
  <c r="K97" i="28"/>
  <c r="AB97" i="28" s="1"/>
  <c r="J97" i="28"/>
  <c r="E97" i="28"/>
  <c r="B97" i="28"/>
  <c r="AC96" i="28"/>
  <c r="M96" i="28"/>
  <c r="K96" i="28"/>
  <c r="AB96" i="28" s="1"/>
  <c r="J96" i="28"/>
  <c r="E96" i="28"/>
  <c r="B96" i="28" s="1"/>
  <c r="AC95" i="28"/>
  <c r="M95" i="28"/>
  <c r="K95" i="28"/>
  <c r="AB95" i="28" s="1"/>
  <c r="J95" i="28"/>
  <c r="E95" i="28"/>
  <c r="B95" i="28"/>
  <c r="AC94" i="28"/>
  <c r="M94" i="28"/>
  <c r="K94" i="28"/>
  <c r="AB94" i="28" s="1"/>
  <c r="J94" i="28"/>
  <c r="E94" i="28"/>
  <c r="B94" i="28"/>
  <c r="AC93" i="28"/>
  <c r="M93" i="28"/>
  <c r="K93" i="28"/>
  <c r="AB93" i="28" s="1"/>
  <c r="J93" i="28"/>
  <c r="E93" i="28"/>
  <c r="B93" i="28" s="1"/>
  <c r="AC92" i="28"/>
  <c r="M92" i="28"/>
  <c r="K92" i="28"/>
  <c r="AB92" i="28" s="1"/>
  <c r="J92" i="28"/>
  <c r="E92" i="28"/>
  <c r="B92" i="28"/>
  <c r="AC91" i="28"/>
  <c r="M91" i="28"/>
  <c r="K91" i="28"/>
  <c r="AB91" i="28" s="1"/>
  <c r="J91" i="28"/>
  <c r="E91" i="28"/>
  <c r="B91" i="28"/>
  <c r="AC90" i="28"/>
  <c r="M90" i="28"/>
  <c r="K90" i="28"/>
  <c r="AB90" i="28" s="1"/>
  <c r="J90" i="28"/>
  <c r="E90" i="28"/>
  <c r="B90" i="28" s="1"/>
  <c r="AC89" i="28"/>
  <c r="M89" i="28"/>
  <c r="K89" i="28"/>
  <c r="AB89" i="28" s="1"/>
  <c r="J89" i="28"/>
  <c r="E89" i="28"/>
  <c r="B89" i="28"/>
  <c r="AC88" i="28"/>
  <c r="M88" i="28"/>
  <c r="K88" i="28"/>
  <c r="AB88" i="28" s="1"/>
  <c r="J88" i="28"/>
  <c r="E88" i="28"/>
  <c r="B88" i="28"/>
  <c r="AC87" i="28"/>
  <c r="M87" i="28"/>
  <c r="K87" i="28"/>
  <c r="AB87" i="28" s="1"/>
  <c r="J87" i="28"/>
  <c r="E87" i="28"/>
  <c r="B87" i="28" s="1"/>
  <c r="AC86" i="28"/>
  <c r="M86" i="28"/>
  <c r="K86" i="28"/>
  <c r="AB86" i="28" s="1"/>
  <c r="J86" i="28"/>
  <c r="E86" i="28"/>
  <c r="B86" i="28"/>
  <c r="AC85" i="28"/>
  <c r="M85" i="28"/>
  <c r="K85" i="28"/>
  <c r="J85" i="28"/>
  <c r="B85" i="28"/>
  <c r="AC84" i="28"/>
  <c r="M84" i="28"/>
  <c r="K84" i="28"/>
  <c r="AB84" i="28" s="1"/>
  <c r="J84" i="28"/>
  <c r="B84" i="28"/>
  <c r="AC83" i="28"/>
  <c r="M83" i="28"/>
  <c r="K83" i="28"/>
  <c r="AB83" i="28" s="1"/>
  <c r="J83" i="28"/>
  <c r="AC82" i="28"/>
  <c r="M82" i="28"/>
  <c r="K82" i="28"/>
  <c r="AB82" i="28" s="1"/>
  <c r="J82" i="28"/>
  <c r="AC81" i="28"/>
  <c r="M81" i="28"/>
  <c r="K81" i="28"/>
  <c r="AB81" i="28" s="1"/>
  <c r="J81" i="28"/>
  <c r="AC80" i="28"/>
  <c r="M80" i="28"/>
  <c r="K80" i="28"/>
  <c r="AB80" i="28" s="1"/>
  <c r="J80" i="28"/>
  <c r="B80" i="28"/>
  <c r="AC79" i="28"/>
  <c r="M79" i="28"/>
  <c r="K79" i="28"/>
  <c r="AB79" i="28" s="1"/>
  <c r="J79" i="28"/>
  <c r="B79" i="28"/>
  <c r="AC78" i="28"/>
  <c r="M78" i="28"/>
  <c r="K78" i="28"/>
  <c r="AB78" i="28" s="1"/>
  <c r="J78" i="28"/>
  <c r="B78" i="28"/>
  <c r="AC77" i="28"/>
  <c r="M77" i="28"/>
  <c r="K77" i="28"/>
  <c r="AB77" i="28" s="1"/>
  <c r="J77" i="28"/>
  <c r="B77" i="28"/>
  <c r="AC76" i="28"/>
  <c r="M76" i="28"/>
  <c r="K76" i="28"/>
  <c r="AB76" i="28" s="1"/>
  <c r="J76" i="28"/>
  <c r="B76" i="28"/>
  <c r="AC75" i="28"/>
  <c r="M75" i="28"/>
  <c r="K75" i="28"/>
  <c r="J75" i="28"/>
  <c r="B75" i="28"/>
  <c r="AC74" i="28"/>
  <c r="M74" i="28"/>
  <c r="K74" i="28"/>
  <c r="AB74" i="28" s="1"/>
  <c r="J74" i="28"/>
  <c r="B74" i="28"/>
  <c r="AC73" i="28"/>
  <c r="M73" i="28"/>
  <c r="K73" i="28"/>
  <c r="AB73" i="28" s="1"/>
  <c r="J73" i="28"/>
  <c r="B73" i="28"/>
  <c r="AC72" i="28"/>
  <c r="M72" i="28"/>
  <c r="K72" i="28"/>
  <c r="AB72" i="28" s="1"/>
  <c r="J72" i="28"/>
  <c r="B72" i="28"/>
  <c r="AC71" i="28"/>
  <c r="M71" i="28"/>
  <c r="K71" i="28"/>
  <c r="T71" i="28" s="1"/>
  <c r="U71" i="28" s="1"/>
  <c r="V71" i="28" s="1"/>
  <c r="J71" i="28"/>
  <c r="B71" i="28"/>
  <c r="AC70" i="28"/>
  <c r="M70" i="28"/>
  <c r="K70" i="28"/>
  <c r="J70" i="28"/>
  <c r="B70" i="28"/>
  <c r="AC69" i="28"/>
  <c r="M69" i="28"/>
  <c r="K69" i="28"/>
  <c r="AB69" i="28" s="1"/>
  <c r="J69" i="28"/>
  <c r="E69" i="28"/>
  <c r="B69" i="28" s="1"/>
  <c r="AC68" i="28"/>
  <c r="M68" i="28"/>
  <c r="K68" i="28"/>
  <c r="AB68" i="28" s="1"/>
  <c r="J68" i="28"/>
  <c r="E68" i="28"/>
  <c r="B68" i="28" s="1"/>
  <c r="AC67" i="28"/>
  <c r="M67" i="28"/>
  <c r="K67" i="28"/>
  <c r="AB67" i="28" s="1"/>
  <c r="J67" i="28"/>
  <c r="E67" i="28"/>
  <c r="B67" i="28"/>
  <c r="AC66" i="28"/>
  <c r="M66" i="28"/>
  <c r="K66" i="28"/>
  <c r="AB66" i="28" s="1"/>
  <c r="J66" i="28"/>
  <c r="E66" i="28"/>
  <c r="B66" i="28" s="1"/>
  <c r="AC65" i="28"/>
  <c r="M65" i="28"/>
  <c r="K65" i="28"/>
  <c r="AB65" i="28" s="1"/>
  <c r="H65" i="28"/>
  <c r="E65" i="28"/>
  <c r="B65" i="28"/>
  <c r="AC64" i="28"/>
  <c r="M64" i="28"/>
  <c r="K64" i="28"/>
  <c r="AB64" i="28" s="1"/>
  <c r="J64" i="28"/>
  <c r="B64" i="28"/>
  <c r="AC63" i="28"/>
  <c r="M63" i="28"/>
  <c r="K63" i="28"/>
  <c r="AB63" i="28" s="1"/>
  <c r="J63" i="28"/>
  <c r="E63" i="28"/>
  <c r="B63" i="28" s="1"/>
  <c r="AC62" i="28"/>
  <c r="M62" i="28"/>
  <c r="K62" i="28"/>
  <c r="AB62" i="28" s="1"/>
  <c r="J62" i="28"/>
  <c r="E62" i="28"/>
  <c r="B62" i="28" s="1"/>
  <c r="AC61" i="28"/>
  <c r="M61" i="28"/>
  <c r="K61" i="28"/>
  <c r="J61" i="28"/>
  <c r="B61" i="28"/>
  <c r="AC60" i="28"/>
  <c r="M60" i="28"/>
  <c r="K60" i="28"/>
  <c r="T60" i="28" s="1"/>
  <c r="U60" i="28" s="1"/>
  <c r="J60" i="28"/>
  <c r="B60" i="28"/>
  <c r="AC59" i="28"/>
  <c r="M59" i="28"/>
  <c r="K59" i="28"/>
  <c r="AB59" i="28" s="1"/>
  <c r="J59" i="28"/>
  <c r="B59" i="28"/>
  <c r="AC58" i="28"/>
  <c r="M58" i="28"/>
  <c r="K58" i="28"/>
  <c r="AB58" i="28" s="1"/>
  <c r="J58" i="28"/>
  <c r="B58" i="28"/>
  <c r="AC57" i="28"/>
  <c r="M57" i="28"/>
  <c r="K57" i="28"/>
  <c r="AB57" i="28" s="1"/>
  <c r="J57" i="28"/>
  <c r="B57" i="28"/>
  <c r="AC56" i="28"/>
  <c r="M56" i="28"/>
  <c r="K56" i="28"/>
  <c r="AB56" i="28" s="1"/>
  <c r="J56" i="28"/>
  <c r="B56" i="28"/>
  <c r="AC55" i="28"/>
  <c r="M55" i="28"/>
  <c r="K55" i="28"/>
  <c r="AB55" i="28" s="1"/>
  <c r="J55" i="28"/>
  <c r="B55" i="28"/>
  <c r="AC54" i="28"/>
  <c r="M54" i="28"/>
  <c r="K54" i="28"/>
  <c r="AB54" i="28" s="1"/>
  <c r="J54" i="28"/>
  <c r="B54" i="28"/>
  <c r="AC53" i="28"/>
  <c r="M53" i="28"/>
  <c r="K53" i="28"/>
  <c r="AB53" i="28" s="1"/>
  <c r="J53" i="28"/>
  <c r="B53" i="28"/>
  <c r="BK52" i="28"/>
  <c r="AC52" i="28"/>
  <c r="M52" i="28"/>
  <c r="K52" i="28"/>
  <c r="AB52" i="28" s="1"/>
  <c r="J52" i="28"/>
  <c r="B52" i="28"/>
  <c r="BK51" i="28"/>
  <c r="AC51" i="28"/>
  <c r="M51" i="28"/>
  <c r="K51" i="28"/>
  <c r="AB51" i="28" s="1"/>
  <c r="J51" i="28"/>
  <c r="B51" i="28"/>
  <c r="BK50" i="28"/>
  <c r="AC50" i="28"/>
  <c r="M50" i="28"/>
  <c r="K50" i="28"/>
  <c r="AB50" i="28" s="1"/>
  <c r="J50" i="28"/>
  <c r="B50" i="28"/>
  <c r="BK49" i="28"/>
  <c r="AC49" i="28"/>
  <c r="M49" i="28"/>
  <c r="K49" i="28"/>
  <c r="AB49" i="28" s="1"/>
  <c r="J49" i="28"/>
  <c r="B49" i="28"/>
  <c r="BK48" i="28"/>
  <c r="AC48" i="28"/>
  <c r="M48" i="28"/>
  <c r="K48" i="28"/>
  <c r="AB48" i="28" s="1"/>
  <c r="J48" i="28"/>
  <c r="B48" i="28"/>
  <c r="BK47" i="28"/>
  <c r="AC47" i="28"/>
  <c r="M47" i="28"/>
  <c r="K47" i="28"/>
  <c r="J47" i="28"/>
  <c r="B47" i="28"/>
  <c r="BK46" i="28"/>
  <c r="AC46" i="28"/>
  <c r="M46" i="28"/>
  <c r="K46" i="28"/>
  <c r="AB46" i="28" s="1"/>
  <c r="J46" i="28"/>
  <c r="B46" i="28"/>
  <c r="AC45" i="28"/>
  <c r="M45" i="28"/>
  <c r="K45" i="28"/>
  <c r="AB45" i="28" s="1"/>
  <c r="J45" i="28"/>
  <c r="B45" i="28"/>
  <c r="BK44" i="28"/>
  <c r="AC44" i="28"/>
  <c r="M44" i="28"/>
  <c r="K44" i="28"/>
  <c r="J44" i="28"/>
  <c r="B44" i="28"/>
  <c r="BK43" i="28"/>
  <c r="AC43" i="28"/>
  <c r="M43" i="28"/>
  <c r="K43" i="28"/>
  <c r="AB43" i="28" s="1"/>
  <c r="J43" i="28"/>
  <c r="B43" i="28"/>
  <c r="BK42" i="28"/>
  <c r="AC42" i="28"/>
  <c r="M42" i="28"/>
  <c r="K42" i="28"/>
  <c r="AB42" i="28" s="1"/>
  <c r="J42" i="28"/>
  <c r="B42" i="28"/>
  <c r="BK41" i="28"/>
  <c r="AC41" i="28"/>
  <c r="M41" i="28"/>
  <c r="K41" i="28"/>
  <c r="AB41" i="28" s="1"/>
  <c r="J41" i="28"/>
  <c r="B41" i="28"/>
  <c r="BK40" i="28"/>
  <c r="AC40" i="28"/>
  <c r="M40" i="28"/>
  <c r="K40" i="28"/>
  <c r="AB40" i="28" s="1"/>
  <c r="J40" i="28"/>
  <c r="B40" i="28"/>
  <c r="BK39" i="28"/>
  <c r="AC39" i="28"/>
  <c r="M39" i="28"/>
  <c r="K39" i="28"/>
  <c r="AB39" i="28" s="1"/>
  <c r="J39" i="28"/>
  <c r="B39" i="28"/>
  <c r="BK38" i="28"/>
  <c r="AC38" i="28"/>
  <c r="M38" i="28"/>
  <c r="K38" i="28"/>
  <c r="J38" i="28"/>
  <c r="B38" i="28"/>
  <c r="BK37" i="28"/>
  <c r="AC37" i="28"/>
  <c r="M37" i="28"/>
  <c r="K37" i="28"/>
  <c r="J37" i="28"/>
  <c r="B37" i="28"/>
  <c r="AC36" i="28"/>
  <c r="M36" i="28"/>
  <c r="K36" i="28"/>
  <c r="AB36" i="28" s="1"/>
  <c r="J36" i="28"/>
  <c r="B36" i="28"/>
  <c r="BK35" i="28"/>
  <c r="AC35" i="28"/>
  <c r="M35" i="28"/>
  <c r="K35" i="28"/>
  <c r="AB35" i="28" s="1"/>
  <c r="J35" i="28"/>
  <c r="B35" i="28"/>
  <c r="BK34" i="28"/>
  <c r="AC34" i="28"/>
  <c r="M34" i="28"/>
  <c r="K34" i="28"/>
  <c r="J34" i="28"/>
  <c r="B34" i="28"/>
  <c r="BK33" i="28"/>
  <c r="AC33" i="28"/>
  <c r="M33" i="28"/>
  <c r="K33" i="28"/>
  <c r="J33" i="28"/>
  <c r="E33" i="28"/>
  <c r="B33" i="28" s="1"/>
  <c r="BK32" i="28"/>
  <c r="BA32" i="28"/>
  <c r="AZ32" i="28"/>
  <c r="AH32" i="28"/>
  <c r="AC32" i="28"/>
  <c r="M32" i="28"/>
  <c r="K32" i="28"/>
  <c r="AB32" i="28" s="1"/>
  <c r="J32" i="28"/>
  <c r="E32" i="28"/>
  <c r="B32" i="28" s="1"/>
  <c r="BK31" i="28"/>
  <c r="AZ31" i="28"/>
  <c r="AH31" i="28"/>
  <c r="AC31" i="28"/>
  <c r="M31" i="28"/>
  <c r="K31" i="28"/>
  <c r="AB31" i="28" s="1"/>
  <c r="J31" i="28"/>
  <c r="E31" i="28"/>
  <c r="B31" i="28"/>
  <c r="BK30" i="28"/>
  <c r="AZ30" i="28"/>
  <c r="AP30" i="28"/>
  <c r="AN30" i="28"/>
  <c r="AM30" i="28"/>
  <c r="AH30" i="28"/>
  <c r="AC30" i="28"/>
  <c r="M30" i="28"/>
  <c r="K30" i="28"/>
  <c r="AB30" i="28" s="1"/>
  <c r="J30" i="28"/>
  <c r="E30" i="28"/>
  <c r="B30" i="28"/>
  <c r="BK29" i="28"/>
  <c r="AZ29" i="28"/>
  <c r="AP29" i="28"/>
  <c r="AY29" i="28" s="1"/>
  <c r="AN29" i="28"/>
  <c r="AM29" i="28"/>
  <c r="AH29" i="28"/>
  <c r="AC29" i="28"/>
  <c r="M29" i="28"/>
  <c r="K29" i="28"/>
  <c r="AB29" i="28" s="1"/>
  <c r="J29" i="28"/>
  <c r="E29" i="28"/>
  <c r="B29" i="28"/>
  <c r="BK28" i="28"/>
  <c r="AZ28" i="28"/>
  <c r="AP28" i="28"/>
  <c r="AY28" i="28" s="1"/>
  <c r="AN28" i="28"/>
  <c r="AM28" i="28"/>
  <c r="AH28" i="28"/>
  <c r="AC28" i="28"/>
  <c r="M28" i="28"/>
  <c r="K28" i="28"/>
  <c r="AB28" i="28" s="1"/>
  <c r="J28" i="28"/>
  <c r="E28" i="28"/>
  <c r="B28" i="28" s="1"/>
  <c r="BK27" i="28"/>
  <c r="AZ27" i="28"/>
  <c r="AP27" i="28"/>
  <c r="AN27" i="28"/>
  <c r="AM27" i="28"/>
  <c r="AH27" i="28"/>
  <c r="AC27" i="28"/>
  <c r="M27" i="28"/>
  <c r="K27" i="28"/>
  <c r="AB27" i="28" s="1"/>
  <c r="J27" i="28"/>
  <c r="B27" i="28"/>
  <c r="BK26" i="28"/>
  <c r="AZ26" i="28"/>
  <c r="AP26" i="28"/>
  <c r="AN26" i="28"/>
  <c r="AM26" i="28"/>
  <c r="AH26" i="28"/>
  <c r="AC26" i="28"/>
  <c r="M26" i="28"/>
  <c r="K26" i="28"/>
  <c r="AB26" i="28" s="1"/>
  <c r="J26" i="28"/>
  <c r="B26" i="28"/>
  <c r="BK25" i="28"/>
  <c r="AZ25" i="28"/>
  <c r="AP25" i="28"/>
  <c r="AN25" i="28"/>
  <c r="AM25" i="28"/>
  <c r="AH25" i="28"/>
  <c r="AC25" i="28"/>
  <c r="M25" i="28"/>
  <c r="K25" i="28"/>
  <c r="AB25" i="28" s="1"/>
  <c r="J25" i="28"/>
  <c r="B25" i="28"/>
  <c r="BK24" i="28"/>
  <c r="AZ24" i="28"/>
  <c r="AP24" i="28"/>
  <c r="AN24" i="28"/>
  <c r="AM24" i="28"/>
  <c r="AH24" i="28"/>
  <c r="AC24" i="28"/>
  <c r="M24" i="28"/>
  <c r="K24" i="28"/>
  <c r="AB24" i="28" s="1"/>
  <c r="J24" i="28"/>
  <c r="B24" i="28"/>
  <c r="BK23" i="28"/>
  <c r="AZ23" i="28"/>
  <c r="AP23" i="28"/>
  <c r="AN23" i="28"/>
  <c r="AM23" i="28"/>
  <c r="AH23" i="28"/>
  <c r="AC23" i="28"/>
  <c r="M23" i="28"/>
  <c r="K23" i="28"/>
  <c r="AB23" i="28" s="1"/>
  <c r="J23" i="28"/>
  <c r="B23" i="28"/>
  <c r="BK22" i="28"/>
  <c r="AZ22" i="28"/>
  <c r="AP22" i="28"/>
  <c r="AN22" i="28"/>
  <c r="AM22" i="28"/>
  <c r="AH22" i="28"/>
  <c r="AC22" i="28"/>
  <c r="M22" i="28"/>
  <c r="K22" i="28"/>
  <c r="AB22" i="28" s="1"/>
  <c r="J22" i="28"/>
  <c r="B22" i="28"/>
  <c r="BK21" i="28"/>
  <c r="AZ21" i="28"/>
  <c r="AP21" i="28"/>
  <c r="AN21" i="28"/>
  <c r="AU21" i="28" s="1"/>
  <c r="AM21" i="28"/>
  <c r="AH21" i="28"/>
  <c r="AC21" i="28"/>
  <c r="M21" i="28"/>
  <c r="K21" i="28"/>
  <c r="AB21" i="28" s="1"/>
  <c r="J21" i="28"/>
  <c r="B21" i="28"/>
  <c r="BK20" i="28"/>
  <c r="AZ20" i="28"/>
  <c r="AP20" i="28"/>
  <c r="AN20" i="28"/>
  <c r="AM20" i="28"/>
  <c r="AH20" i="28"/>
  <c r="AC20" i="28"/>
  <c r="M20" i="28"/>
  <c r="K20" i="28"/>
  <c r="AB20" i="28" s="1"/>
  <c r="J20" i="28"/>
  <c r="E20" i="28"/>
  <c r="B20" i="28" s="1"/>
  <c r="BK19" i="28"/>
  <c r="AZ19" i="28"/>
  <c r="AP19" i="28"/>
  <c r="AY19" i="28" s="1"/>
  <c r="AN19" i="28"/>
  <c r="AM19" i="28"/>
  <c r="AH19" i="28"/>
  <c r="AC19" i="28"/>
  <c r="M19" i="28"/>
  <c r="K19" i="28"/>
  <c r="AB19" i="28" s="1"/>
  <c r="J19" i="28"/>
  <c r="E19" i="28"/>
  <c r="B19" i="28"/>
  <c r="BK18" i="28"/>
  <c r="AZ18" i="28"/>
  <c r="AP18" i="28"/>
  <c r="AN18" i="28"/>
  <c r="AM18" i="28"/>
  <c r="AH18" i="28"/>
  <c r="AC18" i="28"/>
  <c r="M18" i="28"/>
  <c r="K18" i="28"/>
  <c r="AB18" i="28" s="1"/>
  <c r="J18" i="28"/>
  <c r="B18" i="28"/>
  <c r="BP17" i="28"/>
  <c r="BK17" i="28"/>
  <c r="AZ17" i="28"/>
  <c r="AP17" i="28"/>
  <c r="AN17" i="28"/>
  <c r="AM17" i="28"/>
  <c r="AH17" i="28"/>
  <c r="AC17" i="28"/>
  <c r="M17" i="28"/>
  <c r="K17" i="28"/>
  <c r="AB17" i="28" s="1"/>
  <c r="J17" i="28"/>
  <c r="B17" i="28"/>
  <c r="BK16" i="28"/>
  <c r="AZ16" i="28"/>
  <c r="AP16" i="28"/>
  <c r="AN16" i="28"/>
  <c r="AM16" i="28"/>
  <c r="AH16" i="28"/>
  <c r="AC16" i="28"/>
  <c r="M16" i="28"/>
  <c r="K16" i="28"/>
  <c r="AB16" i="28" s="1"/>
  <c r="J16" i="28"/>
  <c r="B16" i="28"/>
  <c r="BK15" i="28"/>
  <c r="AZ15" i="28"/>
  <c r="AP15" i="28"/>
  <c r="AN15" i="28"/>
  <c r="AM15" i="28"/>
  <c r="AH15" i="28"/>
  <c r="AC15" i="28"/>
  <c r="M15" i="28"/>
  <c r="K15" i="28"/>
  <c r="J15" i="28"/>
  <c r="B15" i="28"/>
  <c r="BK14" i="28"/>
  <c r="AZ14" i="28"/>
  <c r="AP14" i="28"/>
  <c r="AN14" i="28"/>
  <c r="AM14" i="28"/>
  <c r="AH14" i="28"/>
  <c r="AC14" i="28"/>
  <c r="M14" i="28"/>
  <c r="K14" i="28"/>
  <c r="X14" i="28" s="1"/>
  <c r="AB14" i="28" s="1"/>
  <c r="J14" i="28"/>
  <c r="B14" i="28"/>
  <c r="BK13" i="28"/>
  <c r="AZ13" i="28"/>
  <c r="AP13" i="28"/>
  <c r="AY13" i="28" s="1"/>
  <c r="AN13" i="28"/>
  <c r="AM13" i="28"/>
  <c r="AH13" i="28"/>
  <c r="AC13" i="28"/>
  <c r="M13" i="28"/>
  <c r="K13" i="28"/>
  <c r="AB13" i="28" s="1"/>
  <c r="J13" i="28"/>
  <c r="B13" i="28"/>
  <c r="BK12" i="28"/>
  <c r="AZ12" i="28"/>
  <c r="AP12" i="28"/>
  <c r="AN12" i="28"/>
  <c r="AM12" i="28"/>
  <c r="AH12" i="28"/>
  <c r="AC12" i="28"/>
  <c r="M12" i="28"/>
  <c r="K12" i="28"/>
  <c r="J12" i="28"/>
  <c r="B12" i="28"/>
  <c r="BK11" i="28"/>
  <c r="AZ11" i="28"/>
  <c r="AP11" i="28"/>
  <c r="AN11" i="28"/>
  <c r="AM11" i="28"/>
  <c r="AH11" i="28"/>
  <c r="AC11" i="28"/>
  <c r="M11" i="28"/>
  <c r="K11" i="28"/>
  <c r="AB11" i="28" s="1"/>
  <c r="J11" i="28"/>
  <c r="B11" i="28"/>
  <c r="BK10" i="28"/>
  <c r="AZ10" i="28"/>
  <c r="AP10" i="28"/>
  <c r="AN10" i="28"/>
  <c r="AM10" i="28"/>
  <c r="AH10" i="28"/>
  <c r="AC10" i="28"/>
  <c r="M10" i="28"/>
  <c r="K10" i="28"/>
  <c r="AB10" i="28" s="1"/>
  <c r="J10" i="28"/>
  <c r="B10" i="28"/>
  <c r="BK9" i="28"/>
  <c r="AZ9" i="28"/>
  <c r="AP9" i="28"/>
  <c r="AY9" i="28" s="1"/>
  <c r="AN9" i="28"/>
  <c r="AM9" i="28"/>
  <c r="AH9" i="28"/>
  <c r="AC9" i="28"/>
  <c r="M9" i="28"/>
  <c r="K9" i="28"/>
  <c r="AB9" i="28" s="1"/>
  <c r="J9" i="28"/>
  <c r="B9" i="28"/>
  <c r="BK8" i="28"/>
  <c r="AZ8" i="28"/>
  <c r="AP8" i="28"/>
  <c r="AN8" i="28"/>
  <c r="AM8" i="28"/>
  <c r="AH8" i="28"/>
  <c r="AC8" i="28"/>
  <c r="M8" i="28"/>
  <c r="K8" i="28"/>
  <c r="AB8" i="28" s="1"/>
  <c r="J8" i="28"/>
  <c r="B8" i="28"/>
  <c r="BK7" i="28"/>
  <c r="AZ7" i="28"/>
  <c r="AP7" i="28"/>
  <c r="AN7" i="28"/>
  <c r="AU7" i="28" s="1"/>
  <c r="AV7" i="28" s="1"/>
  <c r="AM7" i="28"/>
  <c r="AY7" i="28" s="1"/>
  <c r="AH7" i="28"/>
  <c r="AC7" i="28"/>
  <c r="M7" i="28"/>
  <c r="K7" i="28"/>
  <c r="AB7" i="28" s="1"/>
  <c r="J7" i="28"/>
  <c r="B7" i="28"/>
  <c r="BK6" i="28"/>
  <c r="AZ6" i="28"/>
  <c r="AP6" i="28"/>
  <c r="AN6" i="28"/>
  <c r="AM6" i="28"/>
  <c r="AH6" i="28"/>
  <c r="AC6" i="28"/>
  <c r="M6" i="28"/>
  <c r="K6" i="28"/>
  <c r="AB6" i="28" s="1"/>
  <c r="J6" i="28"/>
  <c r="B6" i="28"/>
  <c r="AU8" i="28" l="1"/>
  <c r="AV8" i="28" s="1"/>
  <c r="AW8" i="28" s="1"/>
  <c r="X62" i="28"/>
  <c r="X60" i="28"/>
  <c r="AB60" i="28" s="1"/>
  <c r="X11" i="28"/>
  <c r="AU17" i="28"/>
  <c r="AV17" i="28" s="1"/>
  <c r="AW17" i="28" s="1"/>
  <c r="T79" i="28"/>
  <c r="U79" i="28" s="1"/>
  <c r="AA79" i="28" s="1"/>
  <c r="X59" i="28"/>
  <c r="AY16" i="28"/>
  <c r="AU25" i="28"/>
  <c r="AV25" i="28" s="1"/>
  <c r="AW25" i="28" s="1"/>
  <c r="AY10" i="28"/>
  <c r="X78" i="28"/>
  <c r="AU20" i="28"/>
  <c r="AV20" i="28" s="1"/>
  <c r="AX20" i="28" s="1"/>
  <c r="AU12" i="28"/>
  <c r="AV12" i="28" s="1"/>
  <c r="AY25" i="28"/>
  <c r="X102" i="28"/>
  <c r="AU15" i="28"/>
  <c r="AV15" i="28" s="1"/>
  <c r="AX15" i="28" s="1"/>
  <c r="X79" i="28"/>
  <c r="AU14" i="28"/>
  <c r="AV14" i="28" s="1"/>
  <c r="AX14" i="28" s="1"/>
  <c r="AY8" i="28"/>
  <c r="AU9" i="28"/>
  <c r="AV9" i="28" s="1"/>
  <c r="AW9" i="28" s="1"/>
  <c r="X32" i="28"/>
  <c r="X83" i="28"/>
  <c r="X98" i="28"/>
  <c r="AU10" i="28"/>
  <c r="AV10" i="28" s="1"/>
  <c r="AX10" i="28" s="1"/>
  <c r="X17" i="28"/>
  <c r="AU26" i="28"/>
  <c r="AV26" i="28" s="1"/>
  <c r="AX26" i="28" s="1"/>
  <c r="T11" i="28"/>
  <c r="U11" i="28" s="1"/>
  <c r="V11" i="28" s="1"/>
  <c r="T43" i="28"/>
  <c r="U43" i="28" s="1"/>
  <c r="W43" i="28" s="1"/>
  <c r="X51" i="28"/>
  <c r="AU6" i="28"/>
  <c r="AV6" i="28" s="1"/>
  <c r="AX6" i="28" s="1"/>
  <c r="AY21" i="28"/>
  <c r="AU23" i="28"/>
  <c r="AV23" i="28" s="1"/>
  <c r="X116" i="28"/>
  <c r="X121" i="28"/>
  <c r="AU18" i="28"/>
  <c r="AV18" i="28" s="1"/>
  <c r="AX18" i="28" s="1"/>
  <c r="X100" i="28"/>
  <c r="X10" i="28"/>
  <c r="AY12" i="28"/>
  <c r="AU13" i="28"/>
  <c r="AV13" i="28" s="1"/>
  <c r="AW13" i="28" s="1"/>
  <c r="T50" i="28"/>
  <c r="U50" i="28" s="1"/>
  <c r="V50" i="28" s="1"/>
  <c r="T26" i="28"/>
  <c r="U26" i="28" s="1"/>
  <c r="Z26" i="28" s="1"/>
  <c r="T27" i="28"/>
  <c r="U27" i="28" s="1"/>
  <c r="W27" i="28" s="1"/>
  <c r="X28" i="28"/>
  <c r="X70" i="28"/>
  <c r="AB70" i="28" s="1"/>
  <c r="X95" i="28"/>
  <c r="X115" i="28"/>
  <c r="X13" i="28"/>
  <c r="T36" i="28"/>
  <c r="U36" i="28" s="1"/>
  <c r="W36" i="28" s="1"/>
  <c r="X9" i="28"/>
  <c r="X18" i="28"/>
  <c r="X52" i="28"/>
  <c r="X21" i="28"/>
  <c r="T13" i="28"/>
  <c r="U13" i="28" s="1"/>
  <c r="V13" i="28" s="1"/>
  <c r="AU24" i="28"/>
  <c r="AV24" i="28" s="1"/>
  <c r="AW24" i="28" s="1"/>
  <c r="X64" i="28"/>
  <c r="X104" i="28"/>
  <c r="X109" i="28"/>
  <c r="AB109" i="28" s="1"/>
  <c r="AU16" i="28"/>
  <c r="AV16" i="28" s="1"/>
  <c r="AU22" i="28"/>
  <c r="AV22" i="28" s="1"/>
  <c r="X35" i="28"/>
  <c r="X73" i="28"/>
  <c r="X30" i="28"/>
  <c r="X31" i="28"/>
  <c r="X53" i="28"/>
  <c r="X74" i="28"/>
  <c r="X105" i="28"/>
  <c r="AU27" i="28"/>
  <c r="AV27" i="28" s="1"/>
  <c r="AX27" i="28" s="1"/>
  <c r="T20" i="28"/>
  <c r="U20" i="28" s="1"/>
  <c r="X29" i="28"/>
  <c r="X61" i="28"/>
  <c r="AB61" i="28" s="1"/>
  <c r="X69" i="28"/>
  <c r="X120" i="28"/>
  <c r="AY18" i="28"/>
  <c r="AY26" i="28"/>
  <c r="T30" i="28"/>
  <c r="U30" i="28" s="1"/>
  <c r="AA30" i="28" s="1"/>
  <c r="X47" i="28"/>
  <c r="AB47" i="28"/>
  <c r="X63" i="28"/>
  <c r="X67" i="28"/>
  <c r="X34" i="28"/>
  <c r="AB34" i="28"/>
  <c r="T37" i="28"/>
  <c r="U37" i="28" s="1"/>
  <c r="W37" i="28" s="1"/>
  <c r="AB37" i="28"/>
  <c r="T10" i="28"/>
  <c r="U10" i="28" s="1"/>
  <c r="Z10" i="28" s="1"/>
  <c r="T12" i="28"/>
  <c r="U12" i="28" s="1"/>
  <c r="W12" i="28" s="1"/>
  <c r="AB12" i="28"/>
  <c r="AY17" i="28"/>
  <c r="T21" i="28"/>
  <c r="U21" i="28" s="1"/>
  <c r="W21" i="28" s="1"/>
  <c r="AY24" i="28"/>
  <c r="AY27" i="28"/>
  <c r="T59" i="28"/>
  <c r="U59" i="28" s="1"/>
  <c r="V59" i="28" s="1"/>
  <c r="X81" i="28"/>
  <c r="X103" i="28"/>
  <c r="AB103" i="28"/>
  <c r="AU29" i="28"/>
  <c r="AV29" i="28" s="1"/>
  <c r="AX29" i="28" s="1"/>
  <c r="AY30" i="28"/>
  <c r="X99" i="28"/>
  <c r="AB99" i="28"/>
  <c r="T15" i="28"/>
  <c r="U15" i="28" s="1"/>
  <c r="V15" i="28" s="1"/>
  <c r="AB15" i="28"/>
  <c r="T38" i="28"/>
  <c r="U38" i="28" s="1"/>
  <c r="W38" i="28" s="1"/>
  <c r="AB38" i="28"/>
  <c r="X55" i="28"/>
  <c r="X101" i="28"/>
  <c r="X33" i="28"/>
  <c r="AB33" i="28"/>
  <c r="X66" i="28"/>
  <c r="X112" i="28"/>
  <c r="X114" i="28"/>
  <c r="X75" i="28"/>
  <c r="AB75" i="28"/>
  <c r="X6" i="28"/>
  <c r="X36" i="28"/>
  <c r="T8" i="28"/>
  <c r="U8" i="28" s="1"/>
  <c r="AU11" i="28"/>
  <c r="AV11" i="28" s="1"/>
  <c r="AW11" i="28" s="1"/>
  <c r="AY20" i="28"/>
  <c r="AY22" i="28"/>
  <c r="T25" i="28"/>
  <c r="U25" i="28" s="1"/>
  <c r="W25" i="28" s="1"/>
  <c r="T33" i="28"/>
  <c r="U33" i="28" s="1"/>
  <c r="W33" i="28" s="1"/>
  <c r="X42" i="28"/>
  <c r="T44" i="28"/>
  <c r="U44" i="28" s="1"/>
  <c r="AA44" i="28" s="1"/>
  <c r="AB44" i="28"/>
  <c r="X77" i="28"/>
  <c r="T6" i="28"/>
  <c r="U6" i="28" s="1"/>
  <c r="W6" i="28" s="1"/>
  <c r="T22" i="28"/>
  <c r="U22" i="28" s="1"/>
  <c r="Z22" i="28" s="1"/>
  <c r="T23" i="28"/>
  <c r="U23" i="28" s="1"/>
  <c r="Z23" i="28" s="1"/>
  <c r="T7" i="28"/>
  <c r="U7" i="28" s="1"/>
  <c r="Z7" i="28" s="1"/>
  <c r="T16" i="28"/>
  <c r="U16" i="28" s="1"/>
  <c r="W16" i="28" s="1"/>
  <c r="T14" i="28"/>
  <c r="U14" i="28" s="1"/>
  <c r="AA14" i="28" s="1"/>
  <c r="T24" i="28"/>
  <c r="U24" i="28" s="1"/>
  <c r="T40" i="28"/>
  <c r="U40" i="28" s="1"/>
  <c r="V40" i="28" s="1"/>
  <c r="AY6" i="28"/>
  <c r="T9" i="28"/>
  <c r="U9" i="28" s="1"/>
  <c r="AY14" i="28"/>
  <c r="T18" i="28"/>
  <c r="U18" i="28" s="1"/>
  <c r="W18" i="28" s="1"/>
  <c r="AY23" i="28"/>
  <c r="X25" i="28"/>
  <c r="T17" i="28"/>
  <c r="U17" i="28" s="1"/>
  <c r="X48" i="28"/>
  <c r="X71" i="28"/>
  <c r="AB71" i="28"/>
  <c r="T75" i="28"/>
  <c r="U75" i="28" s="1"/>
  <c r="Z75" i="28" s="1"/>
  <c r="X113" i="28"/>
  <c r="X119" i="28"/>
  <c r="AY11" i="28"/>
  <c r="X12" i="28"/>
  <c r="X7" i="28"/>
  <c r="AY15" i="28"/>
  <c r="X22" i="28"/>
  <c r="AX7" i="28"/>
  <c r="AW7" i="28"/>
  <c r="T19" i="28"/>
  <c r="U19" i="28" s="1"/>
  <c r="X19" i="28"/>
  <c r="X20" i="28"/>
  <c r="X23" i="28"/>
  <c r="W50" i="28"/>
  <c r="X8" i="28"/>
  <c r="X26" i="28"/>
  <c r="V60" i="28"/>
  <c r="Z60" i="28"/>
  <c r="AA60" i="28"/>
  <c r="W60" i="28"/>
  <c r="AV21" i="28"/>
  <c r="X24" i="28"/>
  <c r="X16" i="28"/>
  <c r="X15" i="28"/>
  <c r="AA110" i="28"/>
  <c r="Z110" i="28"/>
  <c r="W110" i="28"/>
  <c r="V110" i="28"/>
  <c r="X118" i="28"/>
  <c r="AU30" i="28"/>
  <c r="AV30" i="28" s="1"/>
  <c r="X37" i="28"/>
  <c r="X43" i="28"/>
  <c r="X56" i="28"/>
  <c r="X88" i="28"/>
  <c r="T121" i="28"/>
  <c r="U121" i="28" s="1"/>
  <c r="T96" i="28"/>
  <c r="U96" i="28" s="1"/>
  <c r="T93" i="28"/>
  <c r="U93" i="28" s="1"/>
  <c r="T90" i="28"/>
  <c r="U90" i="28" s="1"/>
  <c r="T87" i="28"/>
  <c r="U87" i="28" s="1"/>
  <c r="T99" i="28"/>
  <c r="U99" i="28" s="1"/>
  <c r="T120" i="28"/>
  <c r="U120" i="28" s="1"/>
  <c r="T116" i="28"/>
  <c r="U116" i="28" s="1"/>
  <c r="T113" i="28"/>
  <c r="U113" i="28" s="1"/>
  <c r="T109" i="28"/>
  <c r="U109" i="28" s="1"/>
  <c r="T83" i="28"/>
  <c r="U83" i="28" s="1"/>
  <c r="T78" i="28"/>
  <c r="U78" i="28" s="1"/>
  <c r="T74" i="28"/>
  <c r="U74" i="28" s="1"/>
  <c r="T70" i="28"/>
  <c r="U70" i="28" s="1"/>
  <c r="T64" i="28"/>
  <c r="U64" i="28" s="1"/>
  <c r="T105" i="28"/>
  <c r="U105" i="28" s="1"/>
  <c r="T102" i="28"/>
  <c r="U102" i="28" s="1"/>
  <c r="T98" i="28"/>
  <c r="U98" i="28" s="1"/>
  <c r="T95" i="28"/>
  <c r="U95" i="28" s="1"/>
  <c r="T92" i="28"/>
  <c r="U92" i="28" s="1"/>
  <c r="T89" i="28"/>
  <c r="U89" i="28" s="1"/>
  <c r="T86" i="28"/>
  <c r="U86" i="28" s="1"/>
  <c r="T82" i="28"/>
  <c r="U82" i="28" s="1"/>
  <c r="T119" i="28"/>
  <c r="U119" i="28" s="1"/>
  <c r="T112" i="28"/>
  <c r="U112" i="28" s="1"/>
  <c r="T108" i="28"/>
  <c r="U108" i="28" s="1"/>
  <c r="T77" i="28"/>
  <c r="U77" i="28" s="1"/>
  <c r="T73" i="28"/>
  <c r="U73" i="28" s="1"/>
  <c r="T69" i="28"/>
  <c r="U69" i="28" s="1"/>
  <c r="T66" i="28"/>
  <c r="U66" i="28" s="1"/>
  <c r="T63" i="28"/>
  <c r="U63" i="28" s="1"/>
  <c r="T52" i="28"/>
  <c r="U52" i="28" s="1"/>
  <c r="T115" i="28"/>
  <c r="U115" i="28" s="1"/>
  <c r="T104" i="28"/>
  <c r="U104" i="28" s="1"/>
  <c r="T101" i="28"/>
  <c r="U101" i="28" s="1"/>
  <c r="T118" i="28"/>
  <c r="U118" i="28" s="1"/>
  <c r="T111" i="28"/>
  <c r="U111" i="28" s="1"/>
  <c r="T107" i="28"/>
  <c r="U107" i="28" s="1"/>
  <c r="T97" i="28"/>
  <c r="U97" i="28" s="1"/>
  <c r="T94" i="28"/>
  <c r="U94" i="28" s="1"/>
  <c r="T91" i="28"/>
  <c r="U91" i="28" s="1"/>
  <c r="T88" i="28"/>
  <c r="U88" i="28" s="1"/>
  <c r="T85" i="28"/>
  <c r="U85" i="28" s="1"/>
  <c r="T80" i="28"/>
  <c r="U80" i="28" s="1"/>
  <c r="T76" i="28"/>
  <c r="U76" i="28" s="1"/>
  <c r="T72" i="28"/>
  <c r="U72" i="28" s="1"/>
  <c r="T45" i="28"/>
  <c r="U45" i="28" s="1"/>
  <c r="T42" i="28"/>
  <c r="U42" i="28" s="1"/>
  <c r="T39" i="28"/>
  <c r="U39" i="28" s="1"/>
  <c r="T114" i="28"/>
  <c r="U114" i="28" s="1"/>
  <c r="T100" i="28"/>
  <c r="U100" i="28" s="1"/>
  <c r="T58" i="28"/>
  <c r="U58" i="28" s="1"/>
  <c r="T54" i="28"/>
  <c r="U54" i="28" s="1"/>
  <c r="T31" i="28"/>
  <c r="U31" i="28" s="1"/>
  <c r="AU19" i="28"/>
  <c r="AV19" i="28" s="1"/>
  <c r="T34" i="28"/>
  <c r="U34" i="28" s="1"/>
  <c r="X41" i="28"/>
  <c r="T46" i="28"/>
  <c r="U46" i="28" s="1"/>
  <c r="X49" i="28"/>
  <c r="T65" i="28"/>
  <c r="X84" i="28"/>
  <c r="X107" i="28"/>
  <c r="AB107" i="28" s="1"/>
  <c r="T51" i="28"/>
  <c r="U51" i="28" s="1"/>
  <c r="T57" i="28"/>
  <c r="U57" i="28" s="1"/>
  <c r="X91" i="28"/>
  <c r="X94" i="28"/>
  <c r="T103" i="28"/>
  <c r="U103" i="28" s="1"/>
  <c r="X111" i="28"/>
  <c r="AB111" i="28" s="1"/>
  <c r="X27" i="28"/>
  <c r="T28" i="28"/>
  <c r="U28" i="28" s="1"/>
  <c r="T32" i="28"/>
  <c r="U32" i="28" s="1"/>
  <c r="T35" i="28"/>
  <c r="U35" i="28" s="1"/>
  <c r="X39" i="28"/>
  <c r="X45" i="28"/>
  <c r="X50" i="28"/>
  <c r="T55" i="28"/>
  <c r="U55" i="28" s="1"/>
  <c r="T56" i="28"/>
  <c r="U56" i="28" s="1"/>
  <c r="X58" i="28"/>
  <c r="AA71" i="28"/>
  <c r="Z71" i="28"/>
  <c r="W71" i="28"/>
  <c r="Y71" i="28" s="1"/>
  <c r="T41" i="28"/>
  <c r="U41" i="28" s="1"/>
  <c r="T47" i="28"/>
  <c r="U47" i="28" s="1"/>
  <c r="X57" i="28"/>
  <c r="X68" i="28"/>
  <c r="T81" i="28"/>
  <c r="U81" i="28" s="1"/>
  <c r="T84" i="28"/>
  <c r="U84" i="28" s="1"/>
  <c r="X87" i="28"/>
  <c r="X46" i="28"/>
  <c r="AU28" i="28"/>
  <c r="AV28" i="28" s="1"/>
  <c r="X40" i="28"/>
  <c r="T48" i="28"/>
  <c r="U48" i="28" s="1"/>
  <c r="T53" i="28"/>
  <c r="U53" i="28" s="1"/>
  <c r="X72" i="28"/>
  <c r="X76" i="28"/>
  <c r="X80" i="28"/>
  <c r="X90" i="28"/>
  <c r="X93" i="28"/>
  <c r="T29" i="28"/>
  <c r="U29" i="28" s="1"/>
  <c r="X38" i="28"/>
  <c r="X44" i="28"/>
  <c r="X54" i="28"/>
  <c r="T68" i="28"/>
  <c r="U68" i="28" s="1"/>
  <c r="X86" i="28"/>
  <c r="T62" i="28"/>
  <c r="U62" i="28" s="1"/>
  <c r="T117" i="28"/>
  <c r="U117" i="28" s="1"/>
  <c r="T49" i="28"/>
  <c r="U49" i="28" s="1"/>
  <c r="T67" i="28"/>
  <c r="U67" i="28" s="1"/>
  <c r="X82" i="28"/>
  <c r="X89" i="28"/>
  <c r="T61" i="28"/>
  <c r="U61" i="28" s="1"/>
  <c r="J65" i="28"/>
  <c r="X85" i="28"/>
  <c r="AB85" i="28" s="1"/>
  <c r="X92" i="28"/>
  <c r="X97" i="28"/>
  <c r="T106" i="28"/>
  <c r="U106" i="28" s="1"/>
  <c r="X96" i="28"/>
  <c r="X106" i="28"/>
  <c r="X110" i="28"/>
  <c r="AB110" i="28" s="1"/>
  <c r="X117" i="28"/>
  <c r="AA43" i="28" l="1"/>
  <c r="AW10" i="28"/>
  <c r="BA10" i="28" s="1"/>
  <c r="V27" i="28"/>
  <c r="Z50" i="28"/>
  <c r="AD50" i="28" s="1"/>
  <c r="AW14" i="28"/>
  <c r="BA14" i="28" s="1"/>
  <c r="AX8" i="28"/>
  <c r="BA8" i="28" s="1"/>
  <c r="H70" i="44" s="1"/>
  <c r="AW6" i="28"/>
  <c r="BA6" i="28" s="1"/>
  <c r="AA50" i="28"/>
  <c r="AX9" i="28"/>
  <c r="BA9" i="28" s="1"/>
  <c r="W79" i="28"/>
  <c r="AW15" i="28"/>
  <c r="BA15" i="28" s="1"/>
  <c r="Z79" i="28"/>
  <c r="AD79" i="28" s="1"/>
  <c r="V79" i="28"/>
  <c r="AA26" i="28"/>
  <c r="AD26" i="28" s="1"/>
  <c r="AX17" i="28"/>
  <c r="BA17" i="28" s="1"/>
  <c r="AX25" i="28"/>
  <c r="BA25" i="28" s="1"/>
  <c r="V36" i="28"/>
  <c r="Y36" i="28" s="1"/>
  <c r="W15" i="28"/>
  <c r="Y15" i="28" s="1"/>
  <c r="AA36" i="28"/>
  <c r="AA15" i="28"/>
  <c r="V37" i="28"/>
  <c r="Y37" i="28" s="1"/>
  <c r="Z37" i="28"/>
  <c r="Z33" i="28"/>
  <c r="Z36" i="28"/>
  <c r="AW26" i="28"/>
  <c r="BA26" i="28" s="1"/>
  <c r="AW20" i="28"/>
  <c r="BA20" i="28" s="1"/>
  <c r="H68" i="43" s="1"/>
  <c r="AA25" i="28"/>
  <c r="Z16" i="28"/>
  <c r="Z11" i="28"/>
  <c r="V43" i="28"/>
  <c r="Y43" i="28" s="1"/>
  <c r="AW29" i="28"/>
  <c r="BA29" i="28" s="1"/>
  <c r="Z43" i="28"/>
  <c r="AA37" i="28"/>
  <c r="W14" i="28"/>
  <c r="Z30" i="28"/>
  <c r="AD30" i="28" s="1"/>
  <c r="Z6" i="28"/>
  <c r="V75" i="28"/>
  <c r="W22" i="28"/>
  <c r="AA59" i="28"/>
  <c r="V7" i="28"/>
  <c r="AX11" i="28"/>
  <c r="BA11" i="28" s="1"/>
  <c r="V44" i="28"/>
  <c r="W11" i="28"/>
  <c r="Y11" i="28" s="1"/>
  <c r="V25" i="28"/>
  <c r="Y25" i="28" s="1"/>
  <c r="V26" i="28"/>
  <c r="AA27" i="28"/>
  <c r="AA11" i="28"/>
  <c r="Z25" i="28"/>
  <c r="AA22" i="28"/>
  <c r="AD22" i="28" s="1"/>
  <c r="Z12" i="28"/>
  <c r="V22" i="28"/>
  <c r="V12" i="28"/>
  <c r="Y12" i="28" s="1"/>
  <c r="AW18" i="28"/>
  <c r="BA18" i="28" s="1"/>
  <c r="AW27" i="28"/>
  <c r="BA27" i="28" s="1"/>
  <c r="W75" i="28"/>
  <c r="Z14" i="28"/>
  <c r="AA75" i="28"/>
  <c r="AD75" i="28" s="1"/>
  <c r="W26" i="28"/>
  <c r="AX13" i="28"/>
  <c r="BA13" i="28" s="1"/>
  <c r="V14" i="28"/>
  <c r="AA10" i="28"/>
  <c r="AD10" i="28" s="1"/>
  <c r="Z13" i="28"/>
  <c r="W40" i="28"/>
  <c r="Y40" i="28" s="1"/>
  <c r="Z15" i="28"/>
  <c r="V10" i="28"/>
  <c r="AA40" i="28"/>
  <c r="AA6" i="28"/>
  <c r="Z40" i="28"/>
  <c r="V6" i="28"/>
  <c r="Y6" i="28" s="1"/>
  <c r="V16" i="28"/>
  <c r="Y16" i="28" s="1"/>
  <c r="Z27" i="28"/>
  <c r="V21" i="28"/>
  <c r="Y21" i="28" s="1"/>
  <c r="AX24" i="28"/>
  <c r="BA24" i="28" s="1"/>
  <c r="AA13" i="28"/>
  <c r="Y50" i="28"/>
  <c r="W13" i="28"/>
  <c r="Y13" i="28" s="1"/>
  <c r="W10" i="28"/>
  <c r="AA12" i="28"/>
  <c r="W23" i="28"/>
  <c r="AA38" i="28"/>
  <c r="V30" i="28"/>
  <c r="W44" i="28"/>
  <c r="W59" i="28"/>
  <c r="Y59" i="28" s="1"/>
  <c r="W7" i="28"/>
  <c r="V38" i="28"/>
  <c r="Y38" i="28" s="1"/>
  <c r="AA33" i="28"/>
  <c r="V33" i="28"/>
  <c r="Y33" i="28" s="1"/>
  <c r="Z38" i="28"/>
  <c r="W30" i="28"/>
  <c r="Z44" i="28"/>
  <c r="AD44" i="28" s="1"/>
  <c r="Z59" i="28"/>
  <c r="AA7" i="28"/>
  <c r="AD7" i="28" s="1"/>
  <c r="AA18" i="28"/>
  <c r="AA16" i="28"/>
  <c r="V9" i="28"/>
  <c r="AA9" i="28"/>
  <c r="Z9" i="28"/>
  <c r="AA23" i="28"/>
  <c r="AD23" i="28" s="1"/>
  <c r="Z21" i="28"/>
  <c r="AA21" i="28"/>
  <c r="W9" i="28"/>
  <c r="Y27" i="28"/>
  <c r="V18" i="28"/>
  <c r="Y18" i="28" s="1"/>
  <c r="Z18" i="28"/>
  <c r="AD18" i="28" s="1"/>
  <c r="V23" i="28"/>
  <c r="Y60" i="28"/>
  <c r="AA34" i="28"/>
  <c r="Z34" i="28"/>
  <c r="W34" i="28"/>
  <c r="V34" i="28"/>
  <c r="W95" i="28"/>
  <c r="V95" i="28"/>
  <c r="AA95" i="28"/>
  <c r="Z95" i="28"/>
  <c r="Z88" i="28"/>
  <c r="W88" i="28"/>
  <c r="AA88" i="28"/>
  <c r="V88" i="28"/>
  <c r="W29" i="28"/>
  <c r="V29" i="28"/>
  <c r="AA29" i="28"/>
  <c r="Z29" i="28"/>
  <c r="AA87" i="28"/>
  <c r="W87" i="28"/>
  <c r="V87" i="28"/>
  <c r="Z87" i="28"/>
  <c r="AA51" i="28"/>
  <c r="Z51" i="28"/>
  <c r="W51" i="28"/>
  <c r="V51" i="28"/>
  <c r="AA94" i="28"/>
  <c r="Z94" i="28"/>
  <c r="W94" i="28"/>
  <c r="V94" i="28"/>
  <c r="W105" i="28"/>
  <c r="V105" i="28"/>
  <c r="AA105" i="28"/>
  <c r="Z105" i="28"/>
  <c r="AA106" i="28"/>
  <c r="Z106" i="28"/>
  <c r="W106" i="28"/>
  <c r="V106" i="28"/>
  <c r="Z67" i="28"/>
  <c r="W67" i="28"/>
  <c r="V67" i="28"/>
  <c r="AA67" i="28"/>
  <c r="AX28" i="28"/>
  <c r="AW28" i="28"/>
  <c r="AD71" i="28"/>
  <c r="AA28" i="28"/>
  <c r="Z28" i="28"/>
  <c r="W28" i="28"/>
  <c r="V28" i="28"/>
  <c r="AA100" i="28"/>
  <c r="Z100" i="28"/>
  <c r="W100" i="28"/>
  <c r="V100" i="28"/>
  <c r="AA97" i="28"/>
  <c r="Z97" i="28"/>
  <c r="W97" i="28"/>
  <c r="V97" i="28"/>
  <c r="W77" i="28"/>
  <c r="AA77" i="28"/>
  <c r="Z77" i="28"/>
  <c r="V77" i="28"/>
  <c r="V64" i="28"/>
  <c r="AA64" i="28"/>
  <c r="Z64" i="28"/>
  <c r="W64" i="28"/>
  <c r="AA93" i="28"/>
  <c r="W93" i="28"/>
  <c r="V93" i="28"/>
  <c r="Z93" i="28"/>
  <c r="AX30" i="28"/>
  <c r="AW30" i="28"/>
  <c r="AW21" i="28"/>
  <c r="AX21" i="28"/>
  <c r="AX22" i="28"/>
  <c r="AW22" i="28"/>
  <c r="W47" i="28"/>
  <c r="AA47" i="28"/>
  <c r="Z47" i="28"/>
  <c r="V47" i="28"/>
  <c r="W57" i="28"/>
  <c r="AA57" i="28"/>
  <c r="Z57" i="28"/>
  <c r="V57" i="28"/>
  <c r="AA49" i="28"/>
  <c r="Z49" i="28"/>
  <c r="V49" i="28"/>
  <c r="W49" i="28"/>
  <c r="AA114" i="28"/>
  <c r="Z114" i="28"/>
  <c r="W114" i="28"/>
  <c r="V114" i="28"/>
  <c r="AA107" i="28"/>
  <c r="Z107" i="28"/>
  <c r="W107" i="28"/>
  <c r="V107" i="28"/>
  <c r="W108" i="28"/>
  <c r="V108" i="28"/>
  <c r="AA108" i="28"/>
  <c r="Z108" i="28"/>
  <c r="V70" i="28"/>
  <c r="AA70" i="28"/>
  <c r="Z70" i="28"/>
  <c r="W70" i="28"/>
  <c r="AA96" i="28"/>
  <c r="Z96" i="28"/>
  <c r="W96" i="28"/>
  <c r="V96" i="28"/>
  <c r="AA8" i="28"/>
  <c r="W8" i="28"/>
  <c r="V8" i="28"/>
  <c r="Z8" i="28"/>
  <c r="AA20" i="28"/>
  <c r="V20" i="28"/>
  <c r="Z20" i="28"/>
  <c r="W20" i="28"/>
  <c r="Z81" i="28"/>
  <c r="AD81" i="28" s="1"/>
  <c r="V81" i="28"/>
  <c r="AA81" i="28"/>
  <c r="W81" i="28"/>
  <c r="W63" i="28"/>
  <c r="AA63" i="28"/>
  <c r="Z63" i="28"/>
  <c r="V63" i="28"/>
  <c r="W66" i="28"/>
  <c r="AA66" i="28"/>
  <c r="Z66" i="28"/>
  <c r="V66" i="28"/>
  <c r="W48" i="28"/>
  <c r="V48" i="28"/>
  <c r="Z48" i="28"/>
  <c r="AA48" i="28"/>
  <c r="AA91" i="28"/>
  <c r="Z91" i="28"/>
  <c r="W91" i="28"/>
  <c r="V91" i="28"/>
  <c r="AA111" i="28"/>
  <c r="Z111" i="28"/>
  <c r="W111" i="28"/>
  <c r="V111" i="28"/>
  <c r="W112" i="28"/>
  <c r="V112" i="28"/>
  <c r="AA112" i="28"/>
  <c r="Z112" i="28"/>
  <c r="V74" i="28"/>
  <c r="AA74" i="28"/>
  <c r="Z74" i="28"/>
  <c r="W74" i="28"/>
  <c r="Z19" i="28"/>
  <c r="W19" i="28"/>
  <c r="V19" i="28"/>
  <c r="AA19" i="28"/>
  <c r="X65" i="28"/>
  <c r="Z61" i="28"/>
  <c r="W61" i="28"/>
  <c r="V61" i="28"/>
  <c r="AA61" i="28"/>
  <c r="V31" i="28"/>
  <c r="AA31" i="28"/>
  <c r="Z31" i="28"/>
  <c r="W31" i="28"/>
  <c r="V41" i="28"/>
  <c r="AA41" i="28"/>
  <c r="Z41" i="28"/>
  <c r="W41" i="28"/>
  <c r="W69" i="28"/>
  <c r="AA69" i="28"/>
  <c r="Z69" i="28"/>
  <c r="V69" i="28"/>
  <c r="AA117" i="28"/>
  <c r="Z117" i="28"/>
  <c r="W117" i="28"/>
  <c r="V117" i="28"/>
  <c r="AA39" i="28"/>
  <c r="Z39" i="28"/>
  <c r="W39" i="28"/>
  <c r="V39" i="28"/>
  <c r="AA121" i="28"/>
  <c r="Z121" i="28"/>
  <c r="AD121" i="28" s="1"/>
  <c r="W121" i="28"/>
  <c r="V121" i="28"/>
  <c r="AA62" i="28"/>
  <c r="V62" i="28"/>
  <c r="Z62" i="28"/>
  <c r="W62" i="28"/>
  <c r="V56" i="28"/>
  <c r="Z56" i="28"/>
  <c r="AA56" i="28"/>
  <c r="W56" i="28"/>
  <c r="U65" i="28"/>
  <c r="W42" i="28"/>
  <c r="V42" i="28"/>
  <c r="Z42" i="28"/>
  <c r="AA42" i="28"/>
  <c r="AA118" i="28"/>
  <c r="Z118" i="28"/>
  <c r="W118" i="28"/>
  <c r="V118" i="28"/>
  <c r="W119" i="28"/>
  <c r="V119" i="28"/>
  <c r="AA119" i="28"/>
  <c r="Z119" i="28"/>
  <c r="AD119" i="28" s="1"/>
  <c r="V78" i="28"/>
  <c r="AA78" i="28"/>
  <c r="Z78" i="28"/>
  <c r="W78" i="28"/>
  <c r="Y110" i="28"/>
  <c r="AD110" i="28" s="1"/>
  <c r="AW12" i="28"/>
  <c r="AX12" i="28"/>
  <c r="BA7" i="28"/>
  <c r="AA55" i="28"/>
  <c r="V55" i="28"/>
  <c r="Z55" i="28"/>
  <c r="W55" i="28"/>
  <c r="AA103" i="28"/>
  <c r="Z103" i="28"/>
  <c r="W103" i="28"/>
  <c r="V103" i="28"/>
  <c r="AA45" i="28"/>
  <c r="Z45" i="28"/>
  <c r="W45" i="28"/>
  <c r="V45" i="28"/>
  <c r="AA101" i="28"/>
  <c r="Z101" i="28"/>
  <c r="W101" i="28"/>
  <c r="V101" i="28"/>
  <c r="V82" i="28"/>
  <c r="AA82" i="28"/>
  <c r="Z82" i="28"/>
  <c r="AD82" i="28" s="1"/>
  <c r="W82" i="28"/>
  <c r="V83" i="28"/>
  <c r="AA83" i="28"/>
  <c r="Z83" i="28"/>
  <c r="AD83" i="28" s="1"/>
  <c r="W83" i="28"/>
  <c r="AA84" i="28"/>
  <c r="Z84" i="28"/>
  <c r="W84" i="28"/>
  <c r="V84" i="28"/>
  <c r="AA46" i="28"/>
  <c r="Z46" i="28"/>
  <c r="W46" i="28"/>
  <c r="V46" i="28"/>
  <c r="Z72" i="28"/>
  <c r="W72" i="28"/>
  <c r="V72" i="28"/>
  <c r="AA72" i="28"/>
  <c r="AA104" i="28"/>
  <c r="Z104" i="28"/>
  <c r="W104" i="28"/>
  <c r="V104" i="28"/>
  <c r="V86" i="28"/>
  <c r="AA86" i="28"/>
  <c r="Z86" i="28"/>
  <c r="W86" i="28"/>
  <c r="V109" i="28"/>
  <c r="AA109" i="28"/>
  <c r="Z109" i="28"/>
  <c r="W109" i="28"/>
  <c r="AW23" i="28"/>
  <c r="AX23" i="28"/>
  <c r="AW16" i="28"/>
  <c r="AX16" i="28"/>
  <c r="Z76" i="28"/>
  <c r="W76" i="28"/>
  <c r="V76" i="28"/>
  <c r="AA76" i="28"/>
  <c r="Z115" i="28"/>
  <c r="W115" i="28"/>
  <c r="V115" i="28"/>
  <c r="AA115" i="28"/>
  <c r="V89" i="28"/>
  <c r="AA89" i="28"/>
  <c r="Z89" i="28"/>
  <c r="W89" i="28"/>
  <c r="V113" i="28"/>
  <c r="AA113" i="28"/>
  <c r="Z113" i="28"/>
  <c r="W113" i="28"/>
  <c r="AA68" i="28"/>
  <c r="V68" i="28"/>
  <c r="Z68" i="28"/>
  <c r="W68" i="28"/>
  <c r="Z80" i="28"/>
  <c r="W80" i="28"/>
  <c r="V80" i="28"/>
  <c r="AA80" i="28"/>
  <c r="AA52" i="28"/>
  <c r="Z52" i="28"/>
  <c r="W52" i="28"/>
  <c r="V52" i="28"/>
  <c r="W92" i="28"/>
  <c r="V92" i="28"/>
  <c r="AA92" i="28"/>
  <c r="Z92" i="28"/>
  <c r="V116" i="28"/>
  <c r="AA116" i="28"/>
  <c r="Z116" i="28"/>
  <c r="W116" i="28"/>
  <c r="Z85" i="28"/>
  <c r="W85" i="28"/>
  <c r="AA85" i="28"/>
  <c r="V85" i="28"/>
  <c r="V120" i="28"/>
  <c r="AA120" i="28"/>
  <c r="Z120" i="28"/>
  <c r="AD120" i="28" s="1"/>
  <c r="W120" i="28"/>
  <c r="W35" i="28"/>
  <c r="AA35" i="28"/>
  <c r="Z35" i="28"/>
  <c r="V35" i="28"/>
  <c r="AA99" i="28"/>
  <c r="Z99" i="28"/>
  <c r="W99" i="28"/>
  <c r="V99" i="28"/>
  <c r="AA17" i="28"/>
  <c r="V17" i="28"/>
  <c r="Z17" i="28"/>
  <c r="W17" i="28"/>
  <c r="W102" i="28"/>
  <c r="V102" i="28"/>
  <c r="AA102" i="28"/>
  <c r="Z102" i="28"/>
  <c r="AX19" i="28"/>
  <c r="AW19" i="28"/>
  <c r="W53" i="28"/>
  <c r="AA53" i="28"/>
  <c r="Z53" i="28"/>
  <c r="V53" i="28"/>
  <c r="W98" i="28"/>
  <c r="V98" i="28"/>
  <c r="AA98" i="28"/>
  <c r="Z98" i="28"/>
  <c r="V54" i="28"/>
  <c r="AA54" i="28"/>
  <c r="Z54" i="28"/>
  <c r="W54" i="28"/>
  <c r="AA32" i="28"/>
  <c r="Z32" i="28"/>
  <c r="W32" i="28"/>
  <c r="V32" i="28"/>
  <c r="V58" i="28"/>
  <c r="AA58" i="28"/>
  <c r="Z58" i="28"/>
  <c r="W58" i="28"/>
  <c r="W73" i="28"/>
  <c r="AA73" i="28"/>
  <c r="Z73" i="28"/>
  <c r="V73" i="28"/>
  <c r="AA90" i="28"/>
  <c r="W90" i="28"/>
  <c r="V90" i="28"/>
  <c r="Z90" i="28"/>
  <c r="AA24" i="28"/>
  <c r="V24" i="28"/>
  <c r="Z24" i="28"/>
  <c r="W24" i="28"/>
  <c r="AD43" i="28" l="1"/>
  <c r="AD46" i="28"/>
  <c r="Y44" i="28"/>
  <c r="Y79" i="28"/>
  <c r="AD37" i="28"/>
  <c r="AD36" i="28"/>
  <c r="AD33" i="28"/>
  <c r="AD15" i="28"/>
  <c r="AD103" i="28"/>
  <c r="Y111" i="28"/>
  <c r="AD111" i="28" s="1"/>
  <c r="AD27" i="28"/>
  <c r="AD16" i="28"/>
  <c r="AD117" i="28"/>
  <c r="AD59" i="28"/>
  <c r="AD25" i="28"/>
  <c r="AD52" i="28"/>
  <c r="AD74" i="28"/>
  <c r="AD63" i="28"/>
  <c r="AD11" i="28"/>
  <c r="AD116" i="28"/>
  <c r="Y80" i="28"/>
  <c r="AD89" i="28"/>
  <c r="AD9" i="28"/>
  <c r="AD96" i="28"/>
  <c r="AD40" i="28"/>
  <c r="Y118" i="28"/>
  <c r="AD13" i="28"/>
  <c r="Y10" i="28"/>
  <c r="AD47" i="28"/>
  <c r="Y22" i="28"/>
  <c r="Y14" i="28"/>
  <c r="AD14" i="28" s="1"/>
  <c r="Y75" i="28"/>
  <c r="Y99" i="28"/>
  <c r="Y26" i="28"/>
  <c r="AD32" i="28"/>
  <c r="AD38" i="28"/>
  <c r="AD12" i="28"/>
  <c r="AD98" i="28"/>
  <c r="AD6" i="28"/>
  <c r="Y23" i="28"/>
  <c r="Y7" i="28"/>
  <c r="Y30" i="28"/>
  <c r="Y9" i="28"/>
  <c r="AD77" i="28"/>
  <c r="AD106" i="28"/>
  <c r="AD51" i="28"/>
  <c r="AD93" i="28"/>
  <c r="Y87" i="28"/>
  <c r="AD97" i="28"/>
  <c r="Y97" i="28"/>
  <c r="AD92" i="28"/>
  <c r="Y42" i="28"/>
  <c r="AD69" i="28"/>
  <c r="Y61" i="28"/>
  <c r="AD61" i="28" s="1"/>
  <c r="AD73" i="28"/>
  <c r="AD54" i="28"/>
  <c r="AD17" i="28"/>
  <c r="AD55" i="28"/>
  <c r="AD8" i="28"/>
  <c r="AD68" i="28"/>
  <c r="Y8" i="28"/>
  <c r="BA22" i="28"/>
  <c r="Y100" i="28"/>
  <c r="Y67" i="28"/>
  <c r="AD21" i="28"/>
  <c r="BA19" i="28"/>
  <c r="Y92" i="28"/>
  <c r="AD112" i="28"/>
  <c r="Y108" i="28"/>
  <c r="AD108" i="28" s="1"/>
  <c r="AD49" i="28"/>
  <c r="AD64" i="28"/>
  <c r="AD94" i="28"/>
  <c r="Y29" i="28"/>
  <c r="AD34" i="28"/>
  <c r="Y109" i="28"/>
  <c r="AD109" i="28" s="1"/>
  <c r="AD72" i="28"/>
  <c r="Y83" i="28"/>
  <c r="Y56" i="28"/>
  <c r="Y41" i="28"/>
  <c r="Y45" i="28"/>
  <c r="Y39" i="28"/>
  <c r="AD100" i="28"/>
  <c r="Y19" i="28"/>
  <c r="AD57" i="28"/>
  <c r="Y28" i="28"/>
  <c r="AD58" i="28"/>
  <c r="Y102" i="28"/>
  <c r="Y46" i="28"/>
  <c r="Y103" i="28"/>
  <c r="Y117" i="28"/>
  <c r="Y114" i="28"/>
  <c r="AD105" i="28"/>
  <c r="AD87" i="28"/>
  <c r="AD95" i="28"/>
  <c r="Y58" i="28"/>
  <c r="H66" i="44" s="1"/>
  <c r="Y62" i="28"/>
  <c r="Y86" i="28"/>
  <c r="Y82" i="28"/>
  <c r="Y31" i="28"/>
  <c r="Y116" i="28"/>
  <c r="AD80" i="28"/>
  <c r="Y89" i="28"/>
  <c r="AD42" i="28"/>
  <c r="BA23" i="28"/>
  <c r="Y74" i="28"/>
  <c r="Y49" i="28"/>
  <c r="AD60" i="28"/>
  <c r="H67" i="44"/>
  <c r="Y73" i="28"/>
  <c r="Y52" i="28"/>
  <c r="Y72" i="28"/>
  <c r="Y119" i="28"/>
  <c r="AD41" i="28"/>
  <c r="Y68" i="28"/>
  <c r="Y120" i="28"/>
  <c r="AD115" i="28"/>
  <c r="Y54" i="28"/>
  <c r="AD102" i="28"/>
  <c r="AD99" i="28"/>
  <c r="AD113" i="28"/>
  <c r="Y76" i="28"/>
  <c r="AD45" i="28"/>
  <c r="AD56" i="28"/>
  <c r="AD39" i="28"/>
  <c r="Y112" i="28"/>
  <c r="Y48" i="28"/>
  <c r="Y81" i="28"/>
  <c r="Y96" i="28"/>
  <c r="Y107" i="28"/>
  <c r="Y57" i="28"/>
  <c r="Y64" i="28"/>
  <c r="Y106" i="28"/>
  <c r="Y51" i="28"/>
  <c r="Y88" i="28"/>
  <c r="Y77" i="28"/>
  <c r="Y70" i="28"/>
  <c r="AD70" i="28" s="1"/>
  <c r="AD76" i="28"/>
  <c r="Y66" i="28"/>
  <c r="BA21" i="28"/>
  <c r="H62" i="44" s="1"/>
  <c r="AD24" i="28"/>
  <c r="Y35" i="28"/>
  <c r="Y113" i="28"/>
  <c r="Y24" i="28"/>
  <c r="Y98" i="28"/>
  <c r="AD35" i="28"/>
  <c r="AD86" i="28"/>
  <c r="BA12" i="28"/>
  <c r="AD118" i="28"/>
  <c r="AD62" i="28"/>
  <c r="AD31" i="28"/>
  <c r="AD19" i="28"/>
  <c r="AD66" i="28"/>
  <c r="BA30" i="28"/>
  <c r="AD28" i="28"/>
  <c r="AD88" i="28"/>
  <c r="Y47" i="28"/>
  <c r="AD90" i="28"/>
  <c r="Y32" i="28"/>
  <c r="Y53" i="28"/>
  <c r="BA16" i="28"/>
  <c r="AD20" i="28"/>
  <c r="Y90" i="28"/>
  <c r="AD53" i="28"/>
  <c r="Y104" i="28"/>
  <c r="Y84" i="28"/>
  <c r="Y101" i="28"/>
  <c r="AD78" i="28"/>
  <c r="Y121" i="28"/>
  <c r="Y69" i="28"/>
  <c r="Y91" i="28"/>
  <c r="Y63" i="28"/>
  <c r="Y20" i="28"/>
  <c r="AD114" i="28"/>
  <c r="Y93" i="28"/>
  <c r="BA28" i="28"/>
  <c r="Y105" i="28"/>
  <c r="Y95" i="28"/>
  <c r="Y17" i="28"/>
  <c r="Y115" i="28"/>
  <c r="H65" i="44" s="1"/>
  <c r="AD104" i="28"/>
  <c r="AD84" i="28"/>
  <c r="AD101" i="28"/>
  <c r="Y55" i="28"/>
  <c r="Y78" i="28"/>
  <c r="AD91" i="28"/>
  <c r="Y94" i="28"/>
  <c r="AD29" i="28"/>
  <c r="Y34" i="28"/>
  <c r="AA65" i="28"/>
  <c r="Z65" i="28"/>
  <c r="W65" i="28"/>
  <c r="V65" i="28"/>
  <c r="Y85" i="28"/>
  <c r="AD85" i="28" s="1"/>
  <c r="AD48" i="28"/>
  <c r="AD67" i="28"/>
  <c r="H69" i="44" l="1"/>
  <c r="AD65" i="28"/>
  <c r="Y65" i="28"/>
  <c r="H63" i="44"/>
  <c r="H64" i="44"/>
  <c r="AD107" i="28"/>
  <c r="H68" i="44"/>
  <c r="F12" i="48"/>
  <c r="H73" i="48"/>
  <c r="G73" i="48"/>
  <c r="F73" i="48"/>
  <c r="E73" i="48"/>
  <c r="H72" i="48"/>
  <c r="G72" i="48"/>
  <c r="F72" i="48"/>
  <c r="E72" i="48"/>
  <c r="H71" i="48"/>
  <c r="G71" i="48"/>
  <c r="F71" i="48"/>
  <c r="E71" i="48"/>
  <c r="H70" i="48"/>
  <c r="G70" i="48"/>
  <c r="F70" i="48"/>
  <c r="E70" i="48"/>
  <c r="H69" i="48"/>
  <c r="F69" i="48"/>
  <c r="E69" i="48"/>
  <c r="H68" i="48"/>
  <c r="F68" i="48"/>
  <c r="E68" i="48"/>
  <c r="H67" i="48"/>
  <c r="F67" i="48"/>
  <c r="E67" i="48"/>
  <c r="H66" i="48"/>
  <c r="F66" i="48"/>
  <c r="E66" i="48"/>
  <c r="H65" i="48"/>
  <c r="F65" i="48"/>
  <c r="E65" i="48"/>
  <c r="H64" i="48"/>
  <c r="F64" i="48"/>
  <c r="H63" i="48"/>
  <c r="F63" i="48"/>
  <c r="E63" i="48"/>
  <c r="D57" i="48"/>
  <c r="C57" i="48"/>
  <c r="D56" i="48"/>
  <c r="C56" i="48"/>
  <c r="G56" i="48" s="1"/>
  <c r="D55" i="48"/>
  <c r="C55" i="48"/>
  <c r="D54" i="48"/>
  <c r="C54" i="48"/>
  <c r="G54" i="48" s="1"/>
  <c r="E34" i="48"/>
  <c r="E30" i="48"/>
  <c r="E29" i="48"/>
  <c r="F25" i="48"/>
  <c r="F24" i="48"/>
  <c r="F19" i="48"/>
  <c r="E18" i="48"/>
  <c r="E16" i="48"/>
  <c r="E15" i="48"/>
  <c r="E14" i="48"/>
  <c r="I12" i="48"/>
  <c r="I11" i="48"/>
  <c r="I10" i="48"/>
  <c r="I9" i="48"/>
  <c r="I8" i="48"/>
  <c r="I7" i="48"/>
  <c r="I6" i="48"/>
  <c r="F6" i="48"/>
  <c r="P5" i="48"/>
  <c r="O5" i="48"/>
  <c r="N5" i="48"/>
  <c r="M5" i="48"/>
  <c r="L5" i="48"/>
  <c r="K5" i="48"/>
  <c r="J5" i="48"/>
  <c r="F5" i="48"/>
  <c r="F9" i="48" s="1"/>
  <c r="G65" i="48" l="1"/>
  <c r="I65" i="48" s="1"/>
  <c r="G67" i="48"/>
  <c r="I67" i="48" s="1"/>
  <c r="G69" i="48"/>
  <c r="I69" i="48" s="1"/>
  <c r="G66" i="48"/>
  <c r="I66" i="48" s="1"/>
  <c r="G57" i="48"/>
  <c r="G55" i="48"/>
  <c r="G58" i="48" s="1"/>
  <c r="F28" i="48" s="1"/>
  <c r="I72" i="48"/>
  <c r="I73" i="48"/>
  <c r="G68" i="48"/>
  <c r="I68" i="48" s="1"/>
  <c r="I71" i="48"/>
  <c r="F13" i="48"/>
  <c r="I70" i="48"/>
  <c r="H74" i="48"/>
  <c r="F39" i="48" s="1"/>
  <c r="F74" i="48"/>
  <c r="D29" i="48" s="1"/>
  <c r="F29" i="48" s="1"/>
  <c r="F32" i="48"/>
  <c r="F38" i="48"/>
  <c r="G63" i="48"/>
  <c r="F41" i="48" l="1"/>
  <c r="F49" i="48" s="1"/>
  <c r="I63" i="48"/>
  <c r="E64" i="48" l="1"/>
  <c r="E74" i="48" s="1"/>
  <c r="G64" i="48" l="1"/>
  <c r="D30" i="48"/>
  <c r="F30" i="48" s="1"/>
  <c r="I64" i="48" l="1"/>
  <c r="I74" i="48" s="1"/>
  <c r="G74" i="48"/>
  <c r="F31" i="48" s="1"/>
  <c r="D34" i="48" s="1"/>
  <c r="F34" i="48" s="1"/>
  <c r="P10" i="48" l="1"/>
  <c r="J6" i="48"/>
  <c r="O10" i="48"/>
  <c r="K10" i="48"/>
  <c r="L12" i="48"/>
  <c r="L7" i="48"/>
  <c r="N11" i="48"/>
  <c r="L8" i="48"/>
  <c r="K6" i="48"/>
  <c r="K11" i="48"/>
  <c r="M8" i="48"/>
  <c r="J12" i="48"/>
  <c r="P11" i="48"/>
  <c r="M6" i="48"/>
  <c r="K9" i="48"/>
  <c r="J9" i="48"/>
  <c r="P7" i="48"/>
  <c r="K12" i="48"/>
  <c r="L6" i="48"/>
  <c r="P9" i="48"/>
  <c r="P8" i="48"/>
  <c r="M7" i="48"/>
  <c r="K7" i="48"/>
  <c r="O12" i="48"/>
  <c r="N7" i="48"/>
  <c r="P6" i="48"/>
  <c r="O7" i="48"/>
  <c r="L9" i="48"/>
  <c r="M12" i="48"/>
  <c r="N10" i="48"/>
  <c r="L10" i="48"/>
  <c r="N8" i="48"/>
  <c r="O9" i="48"/>
  <c r="L11" i="48"/>
  <c r="O11" i="48"/>
  <c r="N9" i="48"/>
  <c r="K8" i="48"/>
  <c r="N6" i="48"/>
  <c r="N12" i="48"/>
  <c r="F35" i="48"/>
  <c r="O8" i="48"/>
  <c r="M9" i="48"/>
  <c r="J7" i="48"/>
  <c r="J10" i="48"/>
  <c r="O6" i="48"/>
  <c r="J8" i="48"/>
  <c r="J11" i="48"/>
  <c r="P12" i="48"/>
  <c r="M11" i="48"/>
  <c r="M10" i="48"/>
  <c r="F48" i="48" l="1"/>
  <c r="F43" i="48"/>
  <c r="F45" i="48"/>
  <c r="E15" i="47"/>
  <c r="E16" i="47"/>
  <c r="E15" i="46"/>
  <c r="E16" i="46"/>
  <c r="E15" i="45"/>
  <c r="E16" i="45"/>
  <c r="E15" i="44"/>
  <c r="E16" i="44"/>
  <c r="E16" i="42"/>
  <c r="E17" i="42"/>
  <c r="E15" i="42"/>
  <c r="E17" i="43"/>
  <c r="E16" i="43"/>
  <c r="E15" i="43"/>
  <c r="E16" i="41"/>
  <c r="E15" i="41"/>
  <c r="E14" i="41"/>
  <c r="E15" i="40"/>
  <c r="E16" i="40"/>
  <c r="E14" i="40"/>
  <c r="E15" i="39"/>
  <c r="E16" i="39"/>
  <c r="E14" i="39"/>
  <c r="F12" i="47"/>
  <c r="H73" i="47"/>
  <c r="G73" i="47"/>
  <c r="F73" i="47"/>
  <c r="E73" i="47"/>
  <c r="H72" i="47"/>
  <c r="G72" i="47"/>
  <c r="F72" i="47"/>
  <c r="E72" i="47"/>
  <c r="H71" i="47"/>
  <c r="G71" i="47"/>
  <c r="F71" i="47"/>
  <c r="E71" i="47"/>
  <c r="F70" i="47"/>
  <c r="E70" i="47"/>
  <c r="F69" i="47"/>
  <c r="E69" i="47"/>
  <c r="F68" i="47"/>
  <c r="E68" i="47"/>
  <c r="F67" i="47"/>
  <c r="E67" i="47"/>
  <c r="F66" i="47"/>
  <c r="E66" i="47"/>
  <c r="F65" i="47"/>
  <c r="E65" i="47"/>
  <c r="F64" i="47"/>
  <c r="E64" i="47"/>
  <c r="F63" i="47"/>
  <c r="E63" i="47"/>
  <c r="D57" i="47"/>
  <c r="C57" i="47"/>
  <c r="D56" i="47"/>
  <c r="C56" i="47"/>
  <c r="D55" i="47"/>
  <c r="C55" i="47"/>
  <c r="D54" i="47"/>
  <c r="C54" i="47"/>
  <c r="E34" i="47"/>
  <c r="E30" i="47"/>
  <c r="E29" i="47"/>
  <c r="F25" i="47"/>
  <c r="F19" i="47"/>
  <c r="E18" i="47"/>
  <c r="E14" i="47"/>
  <c r="I12" i="47"/>
  <c r="I11" i="47"/>
  <c r="I10" i="47"/>
  <c r="I9" i="47"/>
  <c r="I8" i="47"/>
  <c r="I7" i="47"/>
  <c r="I6" i="47"/>
  <c r="F6" i="47"/>
  <c r="P5" i="47"/>
  <c r="O5" i="47"/>
  <c r="N5" i="47"/>
  <c r="M5" i="47"/>
  <c r="L5" i="47"/>
  <c r="K5" i="47"/>
  <c r="J5" i="47"/>
  <c r="F5" i="47"/>
  <c r="F9" i="47" s="1"/>
  <c r="F38" i="47" s="1"/>
  <c r="F12" i="46"/>
  <c r="H73" i="46"/>
  <c r="G73" i="46"/>
  <c r="F73" i="46"/>
  <c r="E73" i="46"/>
  <c r="H72" i="46"/>
  <c r="G72" i="46"/>
  <c r="F72" i="46"/>
  <c r="E72" i="46"/>
  <c r="H71" i="46"/>
  <c r="F71" i="46"/>
  <c r="E71" i="46"/>
  <c r="H70" i="46"/>
  <c r="F70" i="46"/>
  <c r="E70" i="46"/>
  <c r="G70" i="46" s="1"/>
  <c r="F69" i="46"/>
  <c r="E69" i="46"/>
  <c r="F68" i="46"/>
  <c r="E68" i="46"/>
  <c r="F67" i="46"/>
  <c r="E67" i="46"/>
  <c r="F66" i="46"/>
  <c r="E66" i="46"/>
  <c r="F65" i="46"/>
  <c r="E65" i="46"/>
  <c r="F64" i="46"/>
  <c r="E64" i="46"/>
  <c r="F63" i="46"/>
  <c r="E63" i="46"/>
  <c r="D57" i="46"/>
  <c r="C57" i="46"/>
  <c r="D56" i="46"/>
  <c r="C56" i="46"/>
  <c r="D55" i="46"/>
  <c r="C55" i="46"/>
  <c r="D54" i="46"/>
  <c r="C54" i="46"/>
  <c r="E34" i="46"/>
  <c r="E30" i="46"/>
  <c r="E29" i="46"/>
  <c r="F25" i="46"/>
  <c r="F24" i="46"/>
  <c r="F19" i="46"/>
  <c r="E18" i="46"/>
  <c r="E14" i="46"/>
  <c r="I12" i="46"/>
  <c r="I11" i="46"/>
  <c r="I10" i="46"/>
  <c r="I9" i="46"/>
  <c r="I8" i="46"/>
  <c r="I7" i="46"/>
  <c r="I6" i="46"/>
  <c r="F6" i="46"/>
  <c r="F9" i="46" s="1"/>
  <c r="F38" i="46" s="1"/>
  <c r="P5" i="46"/>
  <c r="O5" i="46"/>
  <c r="N5" i="46"/>
  <c r="M5" i="46"/>
  <c r="L5" i="46"/>
  <c r="K5" i="46"/>
  <c r="J5" i="46"/>
  <c r="F5" i="46"/>
  <c r="H72" i="45"/>
  <c r="G72" i="45"/>
  <c r="F72" i="45"/>
  <c r="E72" i="45"/>
  <c r="H71" i="45"/>
  <c r="G71" i="45"/>
  <c r="F71" i="45"/>
  <c r="E71" i="45"/>
  <c r="F70" i="45"/>
  <c r="E70" i="45"/>
  <c r="F69" i="45"/>
  <c r="E69" i="45"/>
  <c r="F68" i="45"/>
  <c r="E68" i="45"/>
  <c r="F67" i="45"/>
  <c r="E67" i="45"/>
  <c r="F66" i="45"/>
  <c r="E66" i="45"/>
  <c r="F65" i="45"/>
  <c r="E65" i="45"/>
  <c r="F64" i="45"/>
  <c r="E64" i="45"/>
  <c r="F63" i="45"/>
  <c r="E63" i="45"/>
  <c r="E62" i="45"/>
  <c r="G62" i="45" s="1"/>
  <c r="D56" i="45"/>
  <c r="C56" i="45"/>
  <c r="D55" i="45"/>
  <c r="C55" i="45"/>
  <c r="D54" i="45"/>
  <c r="C54" i="45"/>
  <c r="D53" i="45"/>
  <c r="C53" i="45"/>
  <c r="E33" i="45"/>
  <c r="E29" i="45"/>
  <c r="E28" i="45"/>
  <c r="F24" i="45"/>
  <c r="F19" i="45"/>
  <c r="E18" i="45"/>
  <c r="E14" i="45"/>
  <c r="I12" i="45"/>
  <c r="F12" i="45"/>
  <c r="I11" i="45"/>
  <c r="I10" i="45"/>
  <c r="I9" i="45"/>
  <c r="I8" i="45"/>
  <c r="I7" i="45"/>
  <c r="I6" i="45"/>
  <c r="F6" i="45"/>
  <c r="P5" i="45"/>
  <c r="O5" i="45"/>
  <c r="N5" i="45"/>
  <c r="M5" i="45"/>
  <c r="L5" i="45"/>
  <c r="K5" i="45"/>
  <c r="J5" i="45"/>
  <c r="F5" i="45"/>
  <c r="F9" i="45" s="1"/>
  <c r="F31" i="45" s="1"/>
  <c r="F12" i="44"/>
  <c r="F72" i="44"/>
  <c r="E72" i="44"/>
  <c r="F71" i="44"/>
  <c r="E71" i="44"/>
  <c r="F70" i="44"/>
  <c r="E70" i="44"/>
  <c r="F69" i="44"/>
  <c r="E69" i="44"/>
  <c r="F68" i="44"/>
  <c r="E68" i="44"/>
  <c r="F67" i="44"/>
  <c r="E67" i="44"/>
  <c r="F66" i="44"/>
  <c r="E66" i="44"/>
  <c r="F65" i="44"/>
  <c r="E65" i="44"/>
  <c r="F64" i="44"/>
  <c r="E64" i="44"/>
  <c r="F63" i="44"/>
  <c r="E63" i="44"/>
  <c r="F62" i="44"/>
  <c r="E62" i="44"/>
  <c r="D56" i="44"/>
  <c r="C56" i="44"/>
  <c r="D55" i="44"/>
  <c r="C55" i="44"/>
  <c r="D54" i="44"/>
  <c r="C54" i="44"/>
  <c r="D53" i="44"/>
  <c r="C53" i="44"/>
  <c r="E33" i="44"/>
  <c r="E29" i="44"/>
  <c r="E28" i="44"/>
  <c r="F24" i="44"/>
  <c r="F19" i="44"/>
  <c r="E18" i="44"/>
  <c r="E14" i="44"/>
  <c r="I12" i="44"/>
  <c r="I11" i="44"/>
  <c r="I10" i="44"/>
  <c r="I9" i="44"/>
  <c r="I8" i="44"/>
  <c r="I7" i="44"/>
  <c r="I6" i="44"/>
  <c r="F6" i="44"/>
  <c r="P5" i="44"/>
  <c r="O5" i="44"/>
  <c r="N5" i="44"/>
  <c r="M5" i="44"/>
  <c r="L5" i="44"/>
  <c r="K5" i="44"/>
  <c r="J5" i="44"/>
  <c r="F5" i="44"/>
  <c r="F9" i="44" s="1"/>
  <c r="F31" i="44" s="1"/>
  <c r="D9" i="43"/>
  <c r="F9" i="43" s="1"/>
  <c r="F10" i="43" s="1"/>
  <c r="F38" i="43" s="1"/>
  <c r="G73" i="43"/>
  <c r="F73" i="43"/>
  <c r="E73" i="43"/>
  <c r="G72" i="43"/>
  <c r="F72" i="43"/>
  <c r="E72" i="43"/>
  <c r="G71" i="43"/>
  <c r="F71" i="43"/>
  <c r="E71" i="43"/>
  <c r="F70" i="43"/>
  <c r="E70" i="43"/>
  <c r="F64" i="43"/>
  <c r="E64" i="43"/>
  <c r="F63" i="43"/>
  <c r="E63" i="43"/>
  <c r="D57" i="43"/>
  <c r="C57" i="43"/>
  <c r="G57" i="43" s="1"/>
  <c r="D56" i="43"/>
  <c r="C56" i="43"/>
  <c r="D55" i="43"/>
  <c r="C55" i="43"/>
  <c r="D54" i="43"/>
  <c r="C54" i="43"/>
  <c r="E34" i="43"/>
  <c r="E30" i="43"/>
  <c r="E29" i="43"/>
  <c r="F20" i="43"/>
  <c r="E19" i="43"/>
  <c r="F13" i="43"/>
  <c r="I12" i="43"/>
  <c r="I11" i="43"/>
  <c r="I10" i="43"/>
  <c r="I9" i="43"/>
  <c r="I8" i="43"/>
  <c r="I7" i="43"/>
  <c r="I6" i="43"/>
  <c r="F6" i="43"/>
  <c r="P5" i="43"/>
  <c r="O5" i="43"/>
  <c r="N5" i="43"/>
  <c r="M5" i="43"/>
  <c r="L5" i="43"/>
  <c r="K5" i="43"/>
  <c r="J5" i="43"/>
  <c r="F5" i="43"/>
  <c r="D9" i="42"/>
  <c r="F9" i="42" s="1"/>
  <c r="G73" i="42"/>
  <c r="F73" i="42"/>
  <c r="E73" i="42"/>
  <c r="F72" i="42"/>
  <c r="E72" i="42"/>
  <c r="F71" i="42"/>
  <c r="E71" i="42"/>
  <c r="G71" i="42" s="1"/>
  <c r="F70" i="42"/>
  <c r="E70" i="42"/>
  <c r="F69" i="42"/>
  <c r="F68" i="42"/>
  <c r="E68" i="42"/>
  <c r="F65" i="42"/>
  <c r="E65" i="42"/>
  <c r="F64" i="42"/>
  <c r="E64" i="42"/>
  <c r="D57" i="42"/>
  <c r="C57" i="42"/>
  <c r="D56" i="42"/>
  <c r="C56" i="42"/>
  <c r="D55" i="42"/>
  <c r="C55" i="42"/>
  <c r="D54" i="42"/>
  <c r="C54" i="42"/>
  <c r="E34" i="42"/>
  <c r="E30" i="42"/>
  <c r="E29" i="42"/>
  <c r="F20" i="42"/>
  <c r="E19" i="42"/>
  <c r="I12" i="42"/>
  <c r="F13" i="42"/>
  <c r="I11" i="42"/>
  <c r="I10" i="42"/>
  <c r="I9" i="42"/>
  <c r="I8" i="42"/>
  <c r="I7" i="42"/>
  <c r="I6" i="42"/>
  <c r="F6" i="42"/>
  <c r="P5" i="42"/>
  <c r="O5" i="42"/>
  <c r="N5" i="42"/>
  <c r="M5" i="42"/>
  <c r="L5" i="42"/>
  <c r="K5" i="42"/>
  <c r="J5" i="42"/>
  <c r="F5" i="42"/>
  <c r="G73" i="41"/>
  <c r="F73" i="41"/>
  <c r="E73" i="41"/>
  <c r="F72" i="41"/>
  <c r="E72" i="41"/>
  <c r="G72" i="41" s="1"/>
  <c r="F71" i="41"/>
  <c r="E71" i="41"/>
  <c r="F70" i="41"/>
  <c r="E70" i="41"/>
  <c r="G70" i="41" s="1"/>
  <c r="F69" i="41"/>
  <c r="F68" i="41"/>
  <c r="E68" i="41"/>
  <c r="F67" i="41"/>
  <c r="E67" i="41"/>
  <c r="F65" i="41"/>
  <c r="E65" i="41"/>
  <c r="D57" i="41"/>
  <c r="C57" i="41"/>
  <c r="D56" i="41"/>
  <c r="C56" i="41"/>
  <c r="D55" i="41"/>
  <c r="C55" i="41"/>
  <c r="D54" i="41"/>
  <c r="C54" i="41"/>
  <c r="E34" i="41"/>
  <c r="E30" i="41"/>
  <c r="E29" i="41"/>
  <c r="F25" i="41"/>
  <c r="F19" i="41"/>
  <c r="E18" i="41"/>
  <c r="I12" i="41"/>
  <c r="F12" i="41"/>
  <c r="I11" i="41"/>
  <c r="I10" i="41"/>
  <c r="I9" i="41"/>
  <c r="I8" i="41"/>
  <c r="I7" i="41"/>
  <c r="I6" i="41"/>
  <c r="F6" i="41"/>
  <c r="P5" i="41"/>
  <c r="O5" i="41"/>
  <c r="N5" i="41"/>
  <c r="M5" i="41"/>
  <c r="L5" i="41"/>
  <c r="K5" i="41"/>
  <c r="J5" i="41"/>
  <c r="F5" i="41"/>
  <c r="F19" i="40"/>
  <c r="E18" i="39"/>
  <c r="E18" i="40"/>
  <c r="F73" i="40"/>
  <c r="E73" i="40"/>
  <c r="F72" i="40"/>
  <c r="F71" i="40"/>
  <c r="E71" i="40"/>
  <c r="F69" i="40"/>
  <c r="E69" i="40"/>
  <c r="F68" i="40"/>
  <c r="E68" i="40"/>
  <c r="F65" i="40"/>
  <c r="E65" i="40"/>
  <c r="F64" i="40"/>
  <c r="E64" i="40"/>
  <c r="D57" i="40"/>
  <c r="C57" i="40"/>
  <c r="D56" i="40"/>
  <c r="C56" i="40"/>
  <c r="D55" i="40"/>
  <c r="C55" i="40"/>
  <c r="D54" i="40"/>
  <c r="C54" i="40"/>
  <c r="E34" i="40"/>
  <c r="E30" i="40"/>
  <c r="E29" i="40"/>
  <c r="F25" i="40"/>
  <c r="I12" i="40"/>
  <c r="F12" i="40"/>
  <c r="I11" i="40"/>
  <c r="I10" i="40"/>
  <c r="I9" i="40"/>
  <c r="I8" i="40"/>
  <c r="I7" i="40"/>
  <c r="I6" i="40"/>
  <c r="F6" i="40"/>
  <c r="P5" i="40"/>
  <c r="O5" i="40"/>
  <c r="N5" i="40"/>
  <c r="M5" i="40"/>
  <c r="L5" i="40"/>
  <c r="K5" i="40"/>
  <c r="J5" i="40"/>
  <c r="F5" i="40"/>
  <c r="F9" i="40" s="1"/>
  <c r="D4" i="38" s="1"/>
  <c r="G54" i="43" l="1"/>
  <c r="G64" i="44"/>
  <c r="G70" i="44"/>
  <c r="G63" i="44"/>
  <c r="G69" i="44"/>
  <c r="G62" i="44"/>
  <c r="G68" i="44"/>
  <c r="G66" i="44"/>
  <c r="G65" i="44"/>
  <c r="G67" i="44"/>
  <c r="K4" i="38"/>
  <c r="H4" i="38"/>
  <c r="F37" i="44"/>
  <c r="F10" i="42"/>
  <c r="F4" i="38" s="1"/>
  <c r="F32" i="40"/>
  <c r="F38" i="40"/>
  <c r="F32" i="46"/>
  <c r="J4" i="38"/>
  <c r="F32" i="43"/>
  <c r="G4" i="38"/>
  <c r="I4" i="38"/>
  <c r="F37" i="45"/>
  <c r="F9" i="41"/>
  <c r="G54" i="41"/>
  <c r="G55" i="43"/>
  <c r="G56" i="44"/>
  <c r="G54" i="47"/>
  <c r="G55" i="46"/>
  <c r="G53" i="45"/>
  <c r="G56" i="47"/>
  <c r="F50" i="48"/>
  <c r="F47" i="48"/>
  <c r="F89" i="48" s="1"/>
  <c r="F46" i="48"/>
  <c r="G53" i="44"/>
  <c r="G55" i="45"/>
  <c r="G55" i="41"/>
  <c r="G54" i="46"/>
  <c r="G57" i="41"/>
  <c r="G56" i="46"/>
  <c r="G56" i="40"/>
  <c r="G56" i="41"/>
  <c r="G58" i="41" s="1"/>
  <c r="F28" i="41" s="1"/>
  <c r="G54" i="44"/>
  <c r="G57" i="46"/>
  <c r="G56" i="43"/>
  <c r="G58" i="43" s="1"/>
  <c r="F28" i="43" s="1"/>
  <c r="G55" i="44"/>
  <c r="G56" i="45"/>
  <c r="G57" i="40"/>
  <c r="G57" i="47"/>
  <c r="G54" i="40"/>
  <c r="G54" i="45"/>
  <c r="F13" i="41"/>
  <c r="I72" i="47"/>
  <c r="G65" i="45"/>
  <c r="I71" i="45"/>
  <c r="I71" i="47"/>
  <c r="I73" i="46"/>
  <c r="G64" i="47"/>
  <c r="I73" i="47"/>
  <c r="I72" i="45"/>
  <c r="G64" i="46"/>
  <c r="F13" i="44"/>
  <c r="F14" i="43"/>
  <c r="F13" i="47"/>
  <c r="F13" i="46"/>
  <c r="F13" i="45"/>
  <c r="E74" i="47"/>
  <c r="D30" i="47" s="1"/>
  <c r="F30" i="47" s="1"/>
  <c r="F74" i="47"/>
  <c r="D29" i="47" s="1"/>
  <c r="F29" i="47" s="1"/>
  <c r="G55" i="47"/>
  <c r="G58" i="47" s="1"/>
  <c r="F28" i="47" s="1"/>
  <c r="I70" i="46"/>
  <c r="I72" i="46"/>
  <c r="G71" i="46"/>
  <c r="I71" i="46" s="1"/>
  <c r="F74" i="46"/>
  <c r="D29" i="46" s="1"/>
  <c r="F29" i="46" s="1"/>
  <c r="E74" i="46"/>
  <c r="D30" i="46" s="1"/>
  <c r="F30" i="46" s="1"/>
  <c r="E73" i="45"/>
  <c r="D29" i="45" s="1"/>
  <c r="F29" i="45" s="1"/>
  <c r="F73" i="45"/>
  <c r="D28" i="45" s="1"/>
  <c r="F28" i="45" s="1"/>
  <c r="I72" i="44"/>
  <c r="I71" i="44"/>
  <c r="E73" i="44"/>
  <c r="D29" i="44" s="1"/>
  <c r="F29" i="44" s="1"/>
  <c r="F73" i="44"/>
  <c r="D28" i="44" s="1"/>
  <c r="F28" i="44" s="1"/>
  <c r="F14" i="42"/>
  <c r="G57" i="42"/>
  <c r="G54" i="42"/>
  <c r="G68" i="42"/>
  <c r="G72" i="42"/>
  <c r="G55" i="42"/>
  <c r="G56" i="42"/>
  <c r="G71" i="41"/>
  <c r="G55" i="40"/>
  <c r="G73" i="40"/>
  <c r="F13" i="40"/>
  <c r="F38" i="42" l="1"/>
  <c r="F32" i="42"/>
  <c r="F38" i="41"/>
  <c r="F32" i="41"/>
  <c r="E4" i="38"/>
  <c r="G57" i="44"/>
  <c r="F27" i="44" s="1"/>
  <c r="G58" i="46"/>
  <c r="F28" i="46" s="1"/>
  <c r="G57" i="45"/>
  <c r="F27" i="45" s="1"/>
  <c r="G58" i="40"/>
  <c r="F28" i="40" s="1"/>
  <c r="G58" i="42"/>
  <c r="F28" i="42" s="1"/>
  <c r="E72" i="39" l="1"/>
  <c r="E70" i="39"/>
  <c r="E68" i="39"/>
  <c r="E67" i="39"/>
  <c r="E64" i="39"/>
  <c r="E63" i="39"/>
  <c r="F72" i="39"/>
  <c r="F71" i="39"/>
  <c r="F70" i="39"/>
  <c r="F68" i="39"/>
  <c r="F67" i="39"/>
  <c r="F64" i="39"/>
  <c r="F63" i="39"/>
  <c r="D56" i="39"/>
  <c r="C56" i="39"/>
  <c r="D55" i="39"/>
  <c r="C55" i="39"/>
  <c r="D54" i="39"/>
  <c r="C54" i="39"/>
  <c r="D53" i="39"/>
  <c r="C53" i="39"/>
  <c r="E33" i="39"/>
  <c r="E29" i="39"/>
  <c r="E28" i="39"/>
  <c r="F65" i="39"/>
  <c r="E66" i="39"/>
  <c r="G70" i="42"/>
  <c r="F24" i="39"/>
  <c r="F19" i="39"/>
  <c r="I12" i="39"/>
  <c r="F12" i="39"/>
  <c r="I11" i="39"/>
  <c r="I10" i="39"/>
  <c r="I9" i="39"/>
  <c r="I8" i="39"/>
  <c r="I7" i="39"/>
  <c r="I6" i="39"/>
  <c r="F6" i="39"/>
  <c r="P5" i="39"/>
  <c r="O5" i="39"/>
  <c r="N5" i="39"/>
  <c r="M5" i="39"/>
  <c r="L5" i="39"/>
  <c r="K5" i="39"/>
  <c r="J5" i="39"/>
  <c r="F5" i="39"/>
  <c r="G54" i="39" l="1"/>
  <c r="G53" i="39"/>
  <c r="G56" i="39"/>
  <c r="G70" i="45"/>
  <c r="G69" i="47"/>
  <c r="G70" i="43"/>
  <c r="G69" i="46"/>
  <c r="F13" i="39"/>
  <c r="F68" i="43"/>
  <c r="E68" i="43"/>
  <c r="F67" i="43"/>
  <c r="E67" i="43"/>
  <c r="F62" i="39"/>
  <c r="E69" i="39"/>
  <c r="H73" i="43"/>
  <c r="I73" i="43" s="1"/>
  <c r="H73" i="42"/>
  <c r="I73" i="42" s="1"/>
  <c r="E66" i="42"/>
  <c r="H73" i="40"/>
  <c r="I73" i="40" s="1"/>
  <c r="H72" i="41"/>
  <c r="I72" i="41" s="1"/>
  <c r="F66" i="43"/>
  <c r="E69" i="42"/>
  <c r="G69" i="42" s="1"/>
  <c r="F64" i="41"/>
  <c r="H72" i="42"/>
  <c r="I72" i="42" s="1"/>
  <c r="H72" i="43"/>
  <c r="I72" i="43" s="1"/>
  <c r="E66" i="43"/>
  <c r="H71" i="41"/>
  <c r="I71" i="41" s="1"/>
  <c r="E72" i="40"/>
  <c r="G72" i="40" s="1"/>
  <c r="H71" i="42"/>
  <c r="I71" i="42" s="1"/>
  <c r="E63" i="41"/>
  <c r="F63" i="40"/>
  <c r="E63" i="42"/>
  <c r="E66" i="41"/>
  <c r="E70" i="40"/>
  <c r="E69" i="41"/>
  <c r="G69" i="41" s="1"/>
  <c r="E64" i="41"/>
  <c r="F69" i="43"/>
  <c r="F65" i="43"/>
  <c r="F63" i="41"/>
  <c r="F67" i="40"/>
  <c r="E66" i="40"/>
  <c r="E69" i="43"/>
  <c r="E65" i="43"/>
  <c r="F66" i="41"/>
  <c r="H73" i="41"/>
  <c r="I73" i="41" s="1"/>
  <c r="F70" i="40"/>
  <c r="F66" i="42"/>
  <c r="F67" i="42"/>
  <c r="F63" i="42"/>
  <c r="H70" i="41"/>
  <c r="I70" i="41" s="1"/>
  <c r="E67" i="40"/>
  <c r="E63" i="40"/>
  <c r="H71" i="43"/>
  <c r="I71" i="43" s="1"/>
  <c r="E67" i="42"/>
  <c r="F66" i="40"/>
  <c r="F66" i="39"/>
  <c r="G66" i="39" s="1"/>
  <c r="E71" i="39"/>
  <c r="G71" i="39" s="1"/>
  <c r="E65" i="39"/>
  <c r="F69" i="39"/>
  <c r="E62" i="39"/>
  <c r="G55" i="39"/>
  <c r="G57" i="39" s="1"/>
  <c r="F27" i="39" s="1"/>
  <c r="F9" i="39"/>
  <c r="G70" i="39"/>
  <c r="G63" i="39"/>
  <c r="G72" i="39"/>
  <c r="H69" i="42"/>
  <c r="G67" i="39"/>
  <c r="F73" i="39" l="1"/>
  <c r="D28" i="39" s="1"/>
  <c r="C4" i="38"/>
  <c r="F31" i="39"/>
  <c r="F37" i="39"/>
  <c r="G68" i="39"/>
  <c r="G67" i="40"/>
  <c r="G65" i="39"/>
  <c r="G64" i="45"/>
  <c r="G65" i="42"/>
  <c r="G70" i="47"/>
  <c r="G63" i="45"/>
  <c r="G63" i="46"/>
  <c r="G63" i="47"/>
  <c r="G64" i="43"/>
  <c r="G65" i="40"/>
  <c r="G64" i="42"/>
  <c r="G67" i="45"/>
  <c r="G67" i="46"/>
  <c r="G63" i="43"/>
  <c r="G64" i="40"/>
  <c r="G69" i="40"/>
  <c r="G67" i="41"/>
  <c r="G67" i="47"/>
  <c r="G66" i="46"/>
  <c r="G68" i="45"/>
  <c r="G66" i="47"/>
  <c r="G64" i="39"/>
  <c r="G65" i="47"/>
  <c r="G65" i="46"/>
  <c r="G65" i="41"/>
  <c r="G66" i="45"/>
  <c r="G68" i="40"/>
  <c r="G68" i="46"/>
  <c r="G69" i="45"/>
  <c r="G68" i="41"/>
  <c r="G68" i="47"/>
  <c r="G71" i="40"/>
  <c r="H69" i="40"/>
  <c r="I67" i="44"/>
  <c r="H67" i="45"/>
  <c r="H67" i="41"/>
  <c r="H67" i="46"/>
  <c r="H67" i="47"/>
  <c r="H68" i="39"/>
  <c r="I68" i="39" s="1"/>
  <c r="H69" i="46"/>
  <c r="I69" i="46" s="1"/>
  <c r="H69" i="47"/>
  <c r="I69" i="47" s="1"/>
  <c r="H70" i="43"/>
  <c r="I70" i="43" s="1"/>
  <c r="I70" i="44"/>
  <c r="H70" i="45"/>
  <c r="I70" i="45" s="1"/>
  <c r="G62" i="39"/>
  <c r="H69" i="41"/>
  <c r="I69" i="41" s="1"/>
  <c r="G68" i="43"/>
  <c r="H71" i="39"/>
  <c r="I71" i="39" s="1"/>
  <c r="H72" i="40"/>
  <c r="I72" i="40" s="1"/>
  <c r="G64" i="41"/>
  <c r="G67" i="43"/>
  <c r="G69" i="39"/>
  <c r="G69" i="43"/>
  <c r="I69" i="42"/>
  <c r="G66" i="40"/>
  <c r="G66" i="43"/>
  <c r="E73" i="39"/>
  <c r="D29" i="39" s="1"/>
  <c r="F29" i="39" s="1"/>
  <c r="F74" i="41"/>
  <c r="D29" i="41" s="1"/>
  <c r="F29" i="41" s="1"/>
  <c r="G67" i="42"/>
  <c r="G63" i="40"/>
  <c r="E74" i="40"/>
  <c r="D30" i="40" s="1"/>
  <c r="F30" i="40" s="1"/>
  <c r="G65" i="43"/>
  <c r="E74" i="43"/>
  <c r="D30" i="43" s="1"/>
  <c r="F30" i="43" s="1"/>
  <c r="G70" i="40"/>
  <c r="G66" i="42"/>
  <c r="G66" i="41"/>
  <c r="F74" i="42"/>
  <c r="D29" i="42" s="1"/>
  <c r="F29" i="42" s="1"/>
  <c r="G63" i="42"/>
  <c r="E74" i="42"/>
  <c r="D30" i="42" s="1"/>
  <c r="F30" i="42" s="1"/>
  <c r="F28" i="39"/>
  <c r="F74" i="40"/>
  <c r="D29" i="40" s="1"/>
  <c r="F29" i="40" s="1"/>
  <c r="E74" i="41"/>
  <c r="D30" i="41" s="1"/>
  <c r="F30" i="41" s="1"/>
  <c r="G63" i="41"/>
  <c r="F74" i="43"/>
  <c r="D29" i="43" s="1"/>
  <c r="F29" i="43" s="1"/>
  <c r="H68" i="42"/>
  <c r="I68" i="42" s="1"/>
  <c r="H67" i="39"/>
  <c r="I67" i="39" s="1"/>
  <c r="I67" i="45" l="1"/>
  <c r="I67" i="41"/>
  <c r="I67" i="47"/>
  <c r="I69" i="40"/>
  <c r="I67" i="46"/>
  <c r="I68" i="43"/>
  <c r="G74" i="47"/>
  <c r="F31" i="47" s="1"/>
  <c r="D34" i="47" s="1"/>
  <c r="F34" i="47" s="1"/>
  <c r="G73" i="44"/>
  <c r="F30" i="44" s="1"/>
  <c r="D33" i="44" s="1"/>
  <c r="F33" i="44" s="1"/>
  <c r="G73" i="45"/>
  <c r="F30" i="45" s="1"/>
  <c r="D33" i="45" s="1"/>
  <c r="F33" i="45" s="1"/>
  <c r="G74" i="46"/>
  <c r="F31" i="46" s="1"/>
  <c r="H65" i="42"/>
  <c r="I65" i="42" s="1"/>
  <c r="H65" i="40"/>
  <c r="I65" i="40" s="1"/>
  <c r="H64" i="43"/>
  <c r="I64" i="43" s="1"/>
  <c r="H64" i="39"/>
  <c r="I64" i="39" s="1"/>
  <c r="H66" i="47"/>
  <c r="I66" i="47" s="1"/>
  <c r="I68" i="44"/>
  <c r="H68" i="45"/>
  <c r="I68" i="45" s="1"/>
  <c r="H66" i="46"/>
  <c r="I66" i="46" s="1"/>
  <c r="H69" i="39"/>
  <c r="I69" i="39" s="1"/>
  <c r="H70" i="40"/>
  <c r="I70" i="40" s="1"/>
  <c r="H66" i="41"/>
  <c r="I66" i="41" s="1"/>
  <c r="H63" i="40"/>
  <c r="I63" i="40" s="1"/>
  <c r="H62" i="39"/>
  <c r="H63" i="42"/>
  <c r="I63" i="42" s="1"/>
  <c r="H68" i="46"/>
  <c r="I68" i="46" s="1"/>
  <c r="H68" i="47"/>
  <c r="I68" i="47" s="1"/>
  <c r="H71" i="40"/>
  <c r="I71" i="40" s="1"/>
  <c r="H69" i="45"/>
  <c r="I69" i="45" s="1"/>
  <c r="H68" i="41"/>
  <c r="I68" i="41" s="1"/>
  <c r="I69" i="44"/>
  <c r="H70" i="39"/>
  <c r="I70" i="39" s="1"/>
  <c r="H69" i="43"/>
  <c r="I69" i="43" s="1"/>
  <c r="H67" i="43"/>
  <c r="I67" i="43" s="1"/>
  <c r="H70" i="42"/>
  <c r="I70" i="42" s="1"/>
  <c r="I63" i="44"/>
  <c r="H63" i="45"/>
  <c r="I63" i="45" s="1"/>
  <c r="H63" i="43"/>
  <c r="H64" i="42"/>
  <c r="I64" i="42" s="1"/>
  <c r="H64" i="40"/>
  <c r="I64" i="40" s="1"/>
  <c r="H63" i="39"/>
  <c r="I63" i="39" s="1"/>
  <c r="H63" i="47"/>
  <c r="H66" i="40"/>
  <c r="I66" i="40" s="1"/>
  <c r="H65" i="43"/>
  <c r="I65" i="43" s="1"/>
  <c r="H66" i="42"/>
  <c r="I66" i="42" s="1"/>
  <c r="H65" i="39"/>
  <c r="I65" i="39" s="1"/>
  <c r="H63" i="41"/>
  <c r="I63" i="41" s="1"/>
  <c r="G73" i="39"/>
  <c r="G74" i="41"/>
  <c r="F31" i="41" s="1"/>
  <c r="G74" i="43"/>
  <c r="F31" i="43" s="1"/>
  <c r="G74" i="40"/>
  <c r="F31" i="40" s="1"/>
  <c r="D34" i="40" s="1"/>
  <c r="F34" i="40" s="1"/>
  <c r="G74" i="42"/>
  <c r="F31" i="42" s="1"/>
  <c r="F30" i="39" l="1"/>
  <c r="D33" i="39" s="1"/>
  <c r="F33" i="39" s="1"/>
  <c r="D34" i="46"/>
  <c r="F34" i="46" s="1"/>
  <c r="F35" i="46" s="1"/>
  <c r="I63" i="47"/>
  <c r="H70" i="47"/>
  <c r="I70" i="47" s="1"/>
  <c r="H62" i="45"/>
  <c r="H72" i="39"/>
  <c r="I72" i="39" s="1"/>
  <c r="I66" i="44"/>
  <c r="H66" i="45"/>
  <c r="I66" i="45" s="1"/>
  <c r="H64" i="46"/>
  <c r="I64" i="46" s="1"/>
  <c r="H65" i="45"/>
  <c r="I65" i="45" s="1"/>
  <c r="H64" i="47"/>
  <c r="I64" i="47" s="1"/>
  <c r="I65" i="44"/>
  <c r="H67" i="42"/>
  <c r="I67" i="42" s="1"/>
  <c r="I74" i="42" s="1"/>
  <c r="H67" i="40"/>
  <c r="I67" i="40" s="1"/>
  <c r="H66" i="39"/>
  <c r="I66" i="39" s="1"/>
  <c r="H66" i="43"/>
  <c r="I66" i="43" s="1"/>
  <c r="H64" i="41"/>
  <c r="I64" i="41" s="1"/>
  <c r="I64" i="44"/>
  <c r="H64" i="45"/>
  <c r="I64" i="45" s="1"/>
  <c r="H63" i="46"/>
  <c r="I63" i="43"/>
  <c r="H65" i="41"/>
  <c r="I65" i="41" s="1"/>
  <c r="H65" i="46"/>
  <c r="I65" i="46" s="1"/>
  <c r="H65" i="47"/>
  <c r="I65" i="47" s="1"/>
  <c r="H68" i="40"/>
  <c r="I68" i="40" s="1"/>
  <c r="I62" i="39"/>
  <c r="D34" i="41"/>
  <c r="F34" i="41" s="1"/>
  <c r="D34" i="43"/>
  <c r="F34" i="43" s="1"/>
  <c r="D34" i="42"/>
  <c r="F34" i="42" s="1"/>
  <c r="H74" i="42" l="1"/>
  <c r="I74" i="41"/>
  <c r="I74" i="43"/>
  <c r="I74" i="40"/>
  <c r="J5" i="38"/>
  <c r="F48" i="46"/>
  <c r="F45" i="46"/>
  <c r="H74" i="46"/>
  <c r="F39" i="46" s="1"/>
  <c r="I63" i="46"/>
  <c r="I74" i="46" s="1"/>
  <c r="I73" i="39"/>
  <c r="H73" i="45"/>
  <c r="I62" i="45"/>
  <c r="I73" i="45" s="1"/>
  <c r="H73" i="44"/>
  <c r="I62" i="44"/>
  <c r="I73" i="44" s="1"/>
  <c r="H74" i="41"/>
  <c r="I74" i="47"/>
  <c r="H74" i="40"/>
  <c r="H73" i="39"/>
  <c r="H74" i="47"/>
  <c r="H74" i="43"/>
  <c r="F39" i="43" l="1"/>
  <c r="F41" i="43" s="1"/>
  <c r="F39" i="47"/>
  <c r="F41" i="47" s="1"/>
  <c r="K6" i="38" s="1"/>
  <c r="F39" i="40"/>
  <c r="F41" i="40" s="1"/>
  <c r="F38" i="45"/>
  <c r="F40" i="45" s="1"/>
  <c r="F38" i="39"/>
  <c r="F40" i="39" s="1"/>
  <c r="F39" i="41"/>
  <c r="F41" i="41" s="1"/>
  <c r="F38" i="44"/>
  <c r="F40" i="44" s="1"/>
  <c r="F39" i="42"/>
  <c r="F41" i="42" s="1"/>
  <c r="F41" i="46"/>
  <c r="M12" i="46"/>
  <c r="L6" i="46"/>
  <c r="L12" i="46"/>
  <c r="K9" i="46"/>
  <c r="L7" i="46"/>
  <c r="O12" i="46"/>
  <c r="J6" i="46"/>
  <c r="O11" i="46"/>
  <c r="N8" i="46"/>
  <c r="J8" i="46"/>
  <c r="M7" i="46"/>
  <c r="L8" i="46"/>
  <c r="P12" i="46"/>
  <c r="L11" i="46"/>
  <c r="P11" i="46"/>
  <c r="K8" i="46"/>
  <c r="P8" i="46"/>
  <c r="N11" i="46"/>
  <c r="K7" i="46"/>
  <c r="K11" i="46"/>
  <c r="J10" i="46"/>
  <c r="J7" i="46"/>
  <c r="P9" i="46"/>
  <c r="M10" i="46"/>
  <c r="O8" i="46"/>
  <c r="O7" i="46"/>
  <c r="O9" i="46"/>
  <c r="P10" i="46"/>
  <c r="J9" i="46"/>
  <c r="L10" i="46"/>
  <c r="N12" i="46"/>
  <c r="M9" i="46"/>
  <c r="J11" i="46"/>
  <c r="K10" i="46"/>
  <c r="L9" i="46"/>
  <c r="P7" i="46"/>
  <c r="K12" i="46"/>
  <c r="J12" i="46"/>
  <c r="M8" i="46"/>
  <c r="N6" i="46"/>
  <c r="O6" i="46"/>
  <c r="N7" i="46"/>
  <c r="P6" i="46"/>
  <c r="N9" i="46"/>
  <c r="O10" i="46"/>
  <c r="M6" i="46"/>
  <c r="N10" i="46"/>
  <c r="M11" i="46"/>
  <c r="K6" i="46"/>
  <c r="F48" i="44" l="1"/>
  <c r="H6" i="38"/>
  <c r="F49" i="40"/>
  <c r="D6" i="38"/>
  <c r="F48" i="45"/>
  <c r="I6" i="38"/>
  <c r="E6" i="38"/>
  <c r="F49" i="41"/>
  <c r="F48" i="39"/>
  <c r="C6" i="38"/>
  <c r="F49" i="43"/>
  <c r="G6" i="38"/>
  <c r="F49" i="47"/>
  <c r="F6" i="38"/>
  <c r="F49" i="42"/>
  <c r="F49" i="46"/>
  <c r="J6" i="38"/>
  <c r="F43" i="46"/>
  <c r="F50" i="46" l="1"/>
  <c r="F47" i="46"/>
  <c r="F46" i="46"/>
  <c r="F89" i="46" l="1"/>
  <c r="J9" i="38"/>
  <c r="E16" i="25" l="1"/>
  <c r="F24" i="41" l="1"/>
  <c r="F24" i="47"/>
  <c r="F16" i="25"/>
  <c r="M10" i="47" l="1"/>
  <c r="O12" i="47"/>
  <c r="P10" i="47"/>
  <c r="O6" i="47"/>
  <c r="K6" i="47"/>
  <c r="L11" i="47"/>
  <c r="M11" i="47"/>
  <c r="N10" i="47"/>
  <c r="J6" i="47"/>
  <c r="K11" i="47"/>
  <c r="J9" i="47"/>
  <c r="L9" i="47"/>
  <c r="L6" i="47"/>
  <c r="O9" i="47"/>
  <c r="P8" i="47"/>
  <c r="P9" i="47"/>
  <c r="J11" i="47"/>
  <c r="L8" i="47"/>
  <c r="N7" i="47"/>
  <c r="F35" i="47"/>
  <c r="J12" i="47"/>
  <c r="N11" i="47"/>
  <c r="J8" i="47"/>
  <c r="M8" i="47"/>
  <c r="L12" i="47"/>
  <c r="L7" i="47"/>
  <c r="M7" i="47"/>
  <c r="M6" i="47"/>
  <c r="O10" i="47"/>
  <c r="K7" i="47"/>
  <c r="M9" i="47"/>
  <c r="K10" i="47"/>
  <c r="K8" i="47"/>
  <c r="N12" i="47"/>
  <c r="P12" i="47"/>
  <c r="N6" i="47"/>
  <c r="J10" i="47"/>
  <c r="N9" i="47"/>
  <c r="O7" i="47"/>
  <c r="O11" i="47"/>
  <c r="N8" i="47"/>
  <c r="K12" i="47"/>
  <c r="J7" i="47"/>
  <c r="L10" i="47"/>
  <c r="P6" i="47"/>
  <c r="P7" i="47"/>
  <c r="M12" i="47"/>
  <c r="O8" i="47"/>
  <c r="K9" i="47"/>
  <c r="P11" i="47"/>
  <c r="N9" i="41"/>
  <c r="K6" i="41"/>
  <c r="N11" i="41"/>
  <c r="J8" i="41"/>
  <c r="P9" i="41"/>
  <c r="K12" i="41"/>
  <c r="O12" i="41"/>
  <c r="P6" i="41"/>
  <c r="N8" i="41"/>
  <c r="L11" i="41"/>
  <c r="M11" i="41"/>
  <c r="J9" i="41"/>
  <c r="O9" i="41"/>
  <c r="L6" i="41"/>
  <c r="O10" i="41"/>
  <c r="L9" i="41"/>
  <c r="K7" i="41"/>
  <c r="K8" i="41"/>
  <c r="J7" i="41"/>
  <c r="O8" i="41"/>
  <c r="M7" i="41"/>
  <c r="O11" i="41"/>
  <c r="M6" i="41"/>
  <c r="M8" i="41"/>
  <c r="N6" i="41"/>
  <c r="K9" i="41"/>
  <c r="P11" i="41"/>
  <c r="L12" i="41"/>
  <c r="P7" i="41"/>
  <c r="M12" i="41"/>
  <c r="P12" i="41"/>
  <c r="J6" i="41"/>
  <c r="J12" i="41"/>
  <c r="F35" i="41"/>
  <c r="L7" i="41"/>
  <c r="L8" i="41"/>
  <c r="O7" i="41"/>
  <c r="J10" i="41"/>
  <c r="L10" i="41"/>
  <c r="N10" i="41"/>
  <c r="M10" i="41"/>
  <c r="M9" i="41"/>
  <c r="J11" i="41"/>
  <c r="K10" i="41"/>
  <c r="P10" i="41"/>
  <c r="P8" i="41"/>
  <c r="N12" i="41"/>
  <c r="O6" i="41"/>
  <c r="K11" i="41"/>
  <c r="N7" i="41"/>
  <c r="F23" i="45"/>
  <c r="K11" i="45" l="1"/>
  <c r="K8" i="45"/>
  <c r="K10" i="45"/>
  <c r="M8" i="45"/>
  <c r="M12" i="45"/>
  <c r="L7" i="45"/>
  <c r="K9" i="45"/>
  <c r="M10" i="45"/>
  <c r="O11" i="45"/>
  <c r="P10" i="45"/>
  <c r="O9" i="45"/>
  <c r="P8" i="45"/>
  <c r="N9" i="45"/>
  <c r="N10" i="45"/>
  <c r="L11" i="45"/>
  <c r="O8" i="45"/>
  <c r="J8" i="45"/>
  <c r="M7" i="45"/>
  <c r="P9" i="45"/>
  <c r="O12" i="45"/>
  <c r="N11" i="45"/>
  <c r="M11" i="45"/>
  <c r="J12" i="45"/>
  <c r="J9" i="45"/>
  <c r="K6" i="45"/>
  <c r="N7" i="45"/>
  <c r="J11" i="45"/>
  <c r="N8" i="45"/>
  <c r="J6" i="45"/>
  <c r="F34" i="45"/>
  <c r="I5" i="38" s="1"/>
  <c r="M6" i="45"/>
  <c r="N12" i="45"/>
  <c r="O10" i="45"/>
  <c r="P7" i="45"/>
  <c r="L10" i="45"/>
  <c r="L8" i="45"/>
  <c r="J10" i="45"/>
  <c r="M9" i="45"/>
  <c r="O7" i="45"/>
  <c r="K7" i="45"/>
  <c r="L9" i="45"/>
  <c r="K12" i="45"/>
  <c r="O6" i="45"/>
  <c r="L12" i="45"/>
  <c r="N6" i="45"/>
  <c r="L6" i="45"/>
  <c r="P11" i="45"/>
  <c r="P6" i="45"/>
  <c r="J7" i="45"/>
  <c r="P12" i="45"/>
  <c r="F23" i="44"/>
  <c r="F48" i="47"/>
  <c r="K5" i="38"/>
  <c r="F43" i="47"/>
  <c r="F45" i="47"/>
  <c r="E5" i="38"/>
  <c r="F48" i="41"/>
  <c r="F43" i="41"/>
  <c r="F45" i="41"/>
  <c r="F44" i="45" l="1"/>
  <c r="F47" i="45"/>
  <c r="F42" i="45"/>
  <c r="F45" i="45" s="1"/>
  <c r="F24" i="40"/>
  <c r="F25" i="43"/>
  <c r="F23" i="39"/>
  <c r="F25" i="42"/>
  <c r="L12" i="44"/>
  <c r="L11" i="44"/>
  <c r="N8" i="44"/>
  <c r="J7" i="44"/>
  <c r="L7" i="44"/>
  <c r="J11" i="44"/>
  <c r="N10" i="44"/>
  <c r="J10" i="44"/>
  <c r="N9" i="44"/>
  <c r="M8" i="44"/>
  <c r="P10" i="44"/>
  <c r="O8" i="44"/>
  <c r="M9" i="44"/>
  <c r="J9" i="44"/>
  <c r="P7" i="44"/>
  <c r="K8" i="44"/>
  <c r="O10" i="44"/>
  <c r="P8" i="44"/>
  <c r="O11" i="44"/>
  <c r="M10" i="44"/>
  <c r="F34" i="44"/>
  <c r="P9" i="44"/>
  <c r="K9" i="44"/>
  <c r="L6" i="44"/>
  <c r="P11" i="44"/>
  <c r="N7" i="44"/>
  <c r="J6" i="44"/>
  <c r="N6" i="44"/>
  <c r="J8" i="44"/>
  <c r="L9" i="44"/>
  <c r="M7" i="44"/>
  <c r="J12" i="44"/>
  <c r="N12" i="44"/>
  <c r="P6" i="44"/>
  <c r="K11" i="44"/>
  <c r="N11" i="44"/>
  <c r="M11" i="44"/>
  <c r="K12" i="44"/>
  <c r="P12" i="44"/>
  <c r="K6" i="44"/>
  <c r="M12" i="44"/>
  <c r="M6" i="44"/>
  <c r="L10" i="44"/>
  <c r="L8" i="44"/>
  <c r="O7" i="44"/>
  <c r="O12" i="44"/>
  <c r="O9" i="44"/>
  <c r="O6" i="44"/>
  <c r="K10" i="44"/>
  <c r="K7" i="44"/>
  <c r="F46" i="41"/>
  <c r="F47" i="41"/>
  <c r="F50" i="41"/>
  <c r="F47" i="47"/>
  <c r="F46" i="47"/>
  <c r="F50" i="47"/>
  <c r="F46" i="45" l="1"/>
  <c r="F88" i="45" s="1"/>
  <c r="F49" i="45"/>
  <c r="H5" i="38"/>
  <c r="F44" i="44"/>
  <c r="F47" i="44"/>
  <c r="F42" i="44"/>
  <c r="F89" i="47"/>
  <c r="K9" i="38"/>
  <c r="F89" i="41"/>
  <c r="E9" i="38"/>
  <c r="N7" i="43"/>
  <c r="K12" i="43"/>
  <c r="L8" i="43"/>
  <c r="K11" i="43"/>
  <c r="O6" i="43"/>
  <c r="L9" i="43"/>
  <c r="N10" i="43"/>
  <c r="N11" i="43"/>
  <c r="K10" i="43"/>
  <c r="J8" i="43"/>
  <c r="O8" i="43"/>
  <c r="K6" i="43"/>
  <c r="M9" i="43"/>
  <c r="J11" i="43"/>
  <c r="O11" i="43"/>
  <c r="M6" i="43"/>
  <c r="M7" i="43"/>
  <c r="P11" i="43"/>
  <c r="J9" i="43"/>
  <c r="P9" i="43"/>
  <c r="L12" i="43"/>
  <c r="J6" i="43"/>
  <c r="N6" i="43"/>
  <c r="M12" i="43"/>
  <c r="O9" i="43"/>
  <c r="N8" i="43"/>
  <c r="N9" i="43"/>
  <c r="N12" i="43"/>
  <c r="J12" i="43"/>
  <c r="P10" i="43"/>
  <c r="P6" i="43"/>
  <c r="L11" i="43"/>
  <c r="K7" i="43"/>
  <c r="M10" i="43"/>
  <c r="P12" i="43"/>
  <c r="O7" i="43"/>
  <c r="L10" i="43"/>
  <c r="L6" i="43"/>
  <c r="J10" i="43"/>
  <c r="M11" i="43"/>
  <c r="F35" i="43"/>
  <c r="M8" i="43"/>
  <c r="K8" i="43"/>
  <c r="L7" i="43"/>
  <c r="O10" i="43"/>
  <c r="O12" i="43"/>
  <c r="P7" i="43"/>
  <c r="J7" i="43"/>
  <c r="P8" i="43"/>
  <c r="K9" i="43"/>
  <c r="L10" i="42"/>
  <c r="O11" i="42"/>
  <c r="N10" i="42"/>
  <c r="P10" i="42"/>
  <c r="L9" i="42"/>
  <c r="P12" i="42"/>
  <c r="N8" i="42"/>
  <c r="J12" i="42"/>
  <c r="P8" i="42"/>
  <c r="P9" i="42"/>
  <c r="O7" i="42"/>
  <c r="N6" i="42"/>
  <c r="K6" i="42"/>
  <c r="O6" i="42"/>
  <c r="K7" i="42"/>
  <c r="L8" i="42"/>
  <c r="O10" i="42"/>
  <c r="N11" i="42"/>
  <c r="L11" i="42"/>
  <c r="M11" i="42"/>
  <c r="L12" i="42"/>
  <c r="J6" i="42"/>
  <c r="O8" i="42"/>
  <c r="P11" i="42"/>
  <c r="F35" i="42"/>
  <c r="J9" i="42"/>
  <c r="N7" i="42"/>
  <c r="M6" i="42"/>
  <c r="J8" i="42"/>
  <c r="P6" i="42"/>
  <c r="J10" i="42"/>
  <c r="K11" i="42"/>
  <c r="O12" i="42"/>
  <c r="L7" i="42"/>
  <c r="M9" i="42"/>
  <c r="M12" i="42"/>
  <c r="L6" i="42"/>
  <c r="O9" i="42"/>
  <c r="J11" i="42"/>
  <c r="K8" i="42"/>
  <c r="M10" i="42"/>
  <c r="N12" i="42"/>
  <c r="K10" i="42"/>
  <c r="K12" i="42"/>
  <c r="M7" i="42"/>
  <c r="N9" i="42"/>
  <c r="P7" i="42"/>
  <c r="J7" i="42"/>
  <c r="K9" i="42"/>
  <c r="M8" i="42"/>
  <c r="J11" i="40"/>
  <c r="J7" i="40"/>
  <c r="M9" i="40"/>
  <c r="N9" i="40"/>
  <c r="K9" i="40"/>
  <c r="M7" i="40"/>
  <c r="J8" i="40"/>
  <c r="O6" i="40"/>
  <c r="K12" i="40"/>
  <c r="K8" i="40"/>
  <c r="N11" i="40"/>
  <c r="O7" i="40"/>
  <c r="J6" i="40"/>
  <c r="P6" i="40"/>
  <c r="P11" i="40"/>
  <c r="J10" i="40"/>
  <c r="M8" i="40"/>
  <c r="L12" i="40"/>
  <c r="J9" i="40"/>
  <c r="N8" i="40"/>
  <c r="P10" i="40"/>
  <c r="O10" i="40"/>
  <c r="L11" i="40"/>
  <c r="P7" i="40"/>
  <c r="O11" i="40"/>
  <c r="L10" i="40"/>
  <c r="K7" i="40"/>
  <c r="O8" i="40"/>
  <c r="O9" i="40"/>
  <c r="F35" i="40"/>
  <c r="D5" i="38" s="1"/>
  <c r="N6" i="40"/>
  <c r="O12" i="40"/>
  <c r="N10" i="40"/>
  <c r="P9" i="40"/>
  <c r="K11" i="40"/>
  <c r="J12" i="40"/>
  <c r="L9" i="40"/>
  <c r="M11" i="40"/>
  <c r="K10" i="40"/>
  <c r="N12" i="40"/>
  <c r="M10" i="40"/>
  <c r="M12" i="40"/>
  <c r="N7" i="40"/>
  <c r="P8" i="40"/>
  <c r="M6" i="40"/>
  <c r="K6" i="40"/>
  <c r="L7" i="40"/>
  <c r="P12" i="40"/>
  <c r="L6" i="40"/>
  <c r="L8" i="40"/>
  <c r="M6" i="39"/>
  <c r="P7" i="39"/>
  <c r="L9" i="39"/>
  <c r="N8" i="39"/>
  <c r="N7" i="39"/>
  <c r="N9" i="39"/>
  <c r="K12" i="39"/>
  <c r="P9" i="39"/>
  <c r="L7" i="39"/>
  <c r="M11" i="39"/>
  <c r="L11" i="39"/>
  <c r="N6" i="39"/>
  <c r="K6" i="39"/>
  <c r="O12" i="39"/>
  <c r="M12" i="39"/>
  <c r="M8" i="39"/>
  <c r="J8" i="39"/>
  <c r="O10" i="39"/>
  <c r="J11" i="39"/>
  <c r="N12" i="39"/>
  <c r="L6" i="39"/>
  <c r="L12" i="39"/>
  <c r="O7" i="39"/>
  <c r="K11" i="39"/>
  <c r="K9" i="39"/>
  <c r="P6" i="39"/>
  <c r="J7" i="39"/>
  <c r="O6" i="39"/>
  <c r="M7" i="39"/>
  <c r="F34" i="39"/>
  <c r="C5" i="38" s="1"/>
  <c r="O11" i="39"/>
  <c r="N11" i="39"/>
  <c r="J10" i="39"/>
  <c r="K10" i="39"/>
  <c r="O8" i="39"/>
  <c r="L8" i="39"/>
  <c r="K8" i="39"/>
  <c r="P11" i="39"/>
  <c r="P12" i="39"/>
  <c r="O9" i="39"/>
  <c r="M10" i="39"/>
  <c r="J12" i="39"/>
  <c r="K7" i="39"/>
  <c r="P8" i="39"/>
  <c r="M9" i="39"/>
  <c r="L10" i="39"/>
  <c r="J6" i="39"/>
  <c r="N10" i="39"/>
  <c r="J9" i="39"/>
  <c r="P10" i="39"/>
  <c r="I9" i="38" l="1"/>
  <c r="F49" i="44"/>
  <c r="F46" i="44"/>
  <c r="F45" i="44"/>
  <c r="G5" i="38"/>
  <c r="F45" i="43"/>
  <c r="F43" i="43"/>
  <c r="F48" i="43"/>
  <c r="F5" i="38"/>
  <c r="F43" i="42"/>
  <c r="F48" i="42"/>
  <c r="F45" i="42"/>
  <c r="F42" i="39"/>
  <c r="F44" i="39"/>
  <c r="F47" i="39"/>
  <c r="F43" i="40"/>
  <c r="F45" i="40"/>
  <c r="F48" i="40"/>
  <c r="F88" i="44" l="1"/>
  <c r="H9" i="38"/>
  <c r="F47" i="42"/>
  <c r="F46" i="42"/>
  <c r="F50" i="42"/>
  <c r="F50" i="43"/>
  <c r="F46" i="43"/>
  <c r="F47" i="43"/>
  <c r="F46" i="40"/>
  <c r="F47" i="40"/>
  <c r="F50" i="40"/>
  <c r="F49" i="39"/>
  <c r="F45" i="39"/>
  <c r="F46" i="39"/>
  <c r="F88" i="39" l="1"/>
  <c r="C9" i="38"/>
  <c r="F89" i="43"/>
  <c r="G9" i="38"/>
  <c r="F89" i="40"/>
  <c r="D9" i="38"/>
  <c r="F89" i="42"/>
  <c r="F9" i="38"/>
  <c r="K8" i="38"/>
  <c r="G7" i="38" l="1"/>
  <c r="G10" i="38" s="1"/>
  <c r="K7" i="38"/>
  <c r="K10" i="38" s="1"/>
  <c r="K11" i="38" s="1"/>
  <c r="E7" i="38"/>
  <c r="E10" i="38" s="1"/>
  <c r="C7" i="38"/>
  <c r="C10" i="38" s="1"/>
  <c r="G8" i="38" l="1"/>
  <c r="H8" i="38"/>
  <c r="F8" i="38"/>
  <c r="J7" i="38"/>
  <c r="J10" i="38" s="1"/>
  <c r="J8" i="38"/>
  <c r="E8" i="38"/>
  <c r="C8" i="38"/>
  <c r="G11" i="38"/>
  <c r="E11" i="38"/>
  <c r="D7" i="38"/>
  <c r="D10" i="38" s="1"/>
  <c r="D8" i="38"/>
  <c r="C11" i="38"/>
  <c r="H7" i="38" l="1"/>
  <c r="H10" i="38" s="1"/>
  <c r="I8" i="38"/>
  <c r="I7" i="38"/>
  <c r="I10" i="38" s="1"/>
  <c r="J11" i="38"/>
  <c r="D11" i="38"/>
  <c r="F7" i="38"/>
  <c r="F10" i="38" s="1"/>
  <c r="H11" i="38" l="1"/>
  <c r="I11" i="38"/>
  <c r="F11" i="3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tc={E9F01EA4-58BD-4CFB-8A01-B4C67DD30E04}</author>
    <author>tc={2C19CB44-6E5A-4467-A27E-2BDB978CBC16}</author>
    <author>tc={642015BE-30A9-4A9C-A66B-03D40F043681}</author>
  </authors>
  <commentList>
    <comment ref="W5" authorId="0" shapeId="0" xr:uid="{E9F01EA4-58BD-4CFB-8A01-B4C67DD30E04}">
      <text>
        <t>[Threaded comment]
Your version of Excel allows you to read this threaded comment; however, any edits to it will get removed if the file is opened in a newer version of Excel. Learn more: https://go.microsoft.com/fwlink/?linkid=870924
Comment:
    OH=Overhead
Overhead is the sum of interest, insurance, housing, and taxes.</t>
      </text>
    </comment>
    <comment ref="AA5" authorId="1" shapeId="0" xr:uid="{2C19CB44-6E5A-4467-A27E-2BDB978CBC16}">
      <text>
        <t xml:space="preserve">[Threaded comment]
Your version of Excel allows you to read this threaded comment; however, any edits to it will get removed if the file is opened in a newer version of Excel. Learn more: https://go.microsoft.com/fwlink/?linkid=870924
Comment:
    OH=Overhead
Overhead is the sum of interest, insurance, housing, and taxes.
</t>
      </text>
    </comment>
    <comment ref="AX5" authorId="2" shapeId="0" xr:uid="{642015BE-30A9-4A9C-A66B-03D40F043681}">
      <text>
        <t xml:space="preserve">[Threaded comment]
Your version of Excel allows you to read this threaded comment; however, any edits to it will get removed if the file is opened in a newer version of Excel. Learn more: https://go.microsoft.com/fwlink/?linkid=870924
Comment:
    OH=Overhead
Overhead is the sum of interest, insurance, housing, and taxes.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Kientzy, Andrew</author>
  </authors>
  <commentList>
    <comment ref="F40" authorId="0" shapeId="0" xr:uid="{7A641304-94E5-4682-AB10-8AA1A0A1D19C}">
      <text>
        <r>
          <rPr>
            <b/>
            <sz val="9"/>
            <color indexed="81"/>
            <rFont val="Tahoma"/>
            <family val="2"/>
          </rPr>
          <t>Kientzy, Andrew:</t>
        </r>
        <r>
          <rPr>
            <sz val="9"/>
            <color indexed="81"/>
            <rFont val="Tahoma"/>
            <family val="2"/>
          </rPr>
          <t xml:space="preserve">
Land cost is shared with a double crop of soybeans or milo</t>
        </r>
      </text>
    </comment>
  </commentList>
</comments>
</file>

<file path=xl/sharedStrings.xml><?xml version="1.0" encoding="utf-8"?>
<sst xmlns="http://schemas.openxmlformats.org/spreadsheetml/2006/main" count="5790" uniqueCount="938">
  <si>
    <t>University of Missouri Extension</t>
  </si>
  <si>
    <t>Develop a customized budget by changing production and cost assumptions to fit your farming situation.</t>
  </si>
  <si>
    <t>This worksheet is for educational purposes only and the user assumes all risks associated with its use.</t>
  </si>
  <si>
    <t>Corn</t>
  </si>
  <si>
    <t>Soybeans</t>
  </si>
  <si>
    <t>Wheat</t>
  </si>
  <si>
    <t>Yield</t>
  </si>
  <si>
    <t>Phosphorous</t>
  </si>
  <si>
    <t>Potassium</t>
  </si>
  <si>
    <t>Lime</t>
  </si>
  <si>
    <t>Passes</t>
  </si>
  <si>
    <t>Operating interest</t>
  </si>
  <si>
    <t>$/pound N applied</t>
  </si>
  <si>
    <t>$/ton</t>
  </si>
  <si>
    <t>Seed</t>
  </si>
  <si>
    <t>Herbicide</t>
  </si>
  <si>
    <t>$/hour</t>
  </si>
  <si>
    <t>$/gallon</t>
  </si>
  <si>
    <t>Farm business overhead</t>
  </si>
  <si>
    <t>Total</t>
  </si>
  <si>
    <t>Primary crop revenue</t>
  </si>
  <si>
    <t>bushels</t>
  </si>
  <si>
    <t>Byproduct crop revenue</t>
  </si>
  <si>
    <t>Direct government payments</t>
  </si>
  <si>
    <t>Other income</t>
  </si>
  <si>
    <t>Quantity</t>
  </si>
  <si>
    <t>Fertilizer</t>
  </si>
  <si>
    <t>Nitrogen</t>
  </si>
  <si>
    <t>Phosphorus</t>
  </si>
  <si>
    <t>Crop protection</t>
  </si>
  <si>
    <t>Crop supplies, storage, and marketing</t>
  </si>
  <si>
    <t>Crop consulting and insurance</t>
  </si>
  <si>
    <t>Custom hire and rental</t>
  </si>
  <si>
    <t>Machinery repairs and maintenance</t>
  </si>
  <si>
    <t>Other expense</t>
  </si>
  <si>
    <t>Real estate charge</t>
  </si>
  <si>
    <t>Operating costs per bushel</t>
  </si>
  <si>
    <t>Ownership costs per bushel</t>
  </si>
  <si>
    <t>Total costs per bushel</t>
  </si>
  <si>
    <t>per acre</t>
  </si>
  <si>
    <t/>
  </si>
  <si>
    <t>Start</t>
  </si>
  <si>
    <t>cropnum-22706</t>
  </si>
  <si>
    <t>primyieldtype-22706</t>
  </si>
  <si>
    <t>byyieldtype-22706</t>
  </si>
  <si>
    <t>irrigation2-22706</t>
  </si>
  <si>
    <t>leasenum-22706</t>
  </si>
  <si>
    <t>40hp-22706</t>
  </si>
  <si>
    <t>60hp-22706</t>
  </si>
  <si>
    <t>75hp-22706</t>
  </si>
  <si>
    <t>105twd-22706</t>
  </si>
  <si>
    <t>140twd-22706</t>
  </si>
  <si>
    <t>105mfwd-22706</t>
  </si>
  <si>
    <t>130mfwd-22706</t>
  </si>
  <si>
    <t>160mfwd-22706</t>
  </si>
  <si>
    <t>200mfwd-22706</t>
  </si>
  <si>
    <t>225mfwd-22706</t>
  </si>
  <si>
    <t>2604wd-22706</t>
  </si>
  <si>
    <t>3104wd-22706</t>
  </si>
  <si>
    <t>360 4wd-22706</t>
  </si>
  <si>
    <t>4254wd-22706</t>
  </si>
  <si>
    <t>225tt-22706</t>
  </si>
  <si>
    <t>425tt-22706</t>
  </si>
  <si>
    <t>description-1-22706</t>
  </si>
  <si>
    <t>acres-1-22706</t>
  </si>
  <si>
    <t>receipts-1-22706</t>
  </si>
  <si>
    <t>receipts-2-22706</t>
  </si>
  <si>
    <t>receipts-3-22706</t>
  </si>
  <si>
    <t>receipts-4-22706</t>
  </si>
  <si>
    <t>receipts-5-22706</t>
  </si>
  <si>
    <t>receipts-6-22706</t>
  </si>
  <si>
    <t>seed1-1-22706</t>
  </si>
  <si>
    <t>seed1-2-22706</t>
  </si>
  <si>
    <t>seed1-3-22706</t>
  </si>
  <si>
    <t>seed1-4-22706</t>
  </si>
  <si>
    <t>seed1-5-22706</t>
  </si>
  <si>
    <t>seed1-6-22706</t>
  </si>
  <si>
    <t>seed2-1-22706</t>
  </si>
  <si>
    <t>seed2-2-22706</t>
  </si>
  <si>
    <t>seed2-3-22706</t>
  </si>
  <si>
    <t>seed2-4-22706</t>
  </si>
  <si>
    <t>seed2-5-22706</t>
  </si>
  <si>
    <t>seed2-6-22706</t>
  </si>
  <si>
    <t>fertilizer1-1-22706</t>
  </si>
  <si>
    <t>fertilizer1-2-22706</t>
  </si>
  <si>
    <t>fertilizer1-3-22706</t>
  </si>
  <si>
    <t>fertilizer1-4-22706</t>
  </si>
  <si>
    <t>fertilizer1-5-22706</t>
  </si>
  <si>
    <t>fertilizer1-6-22706</t>
  </si>
  <si>
    <t>fertilizer1-7-22706</t>
  </si>
  <si>
    <t>fertilizer1-8-22706</t>
  </si>
  <si>
    <t>fertilizer2-1-22706</t>
  </si>
  <si>
    <t>fertilizer2-2-22706</t>
  </si>
  <si>
    <t>fertilizer2-3-22706</t>
  </si>
  <si>
    <t>fertilizer2-4-22706</t>
  </si>
  <si>
    <t>fertilizer2-5-22706</t>
  </si>
  <si>
    <t>fertilizer2-6-22706</t>
  </si>
  <si>
    <t>fertilizer2-7-22706</t>
  </si>
  <si>
    <t>fertilizer2-8-22706</t>
  </si>
  <si>
    <t>herbicide1-1-22706</t>
  </si>
  <si>
    <t>herbicide1-2-22706</t>
  </si>
  <si>
    <t>herbicide1-3-22706</t>
  </si>
  <si>
    <t>herbicide1-4-22706</t>
  </si>
  <si>
    <t>herbicide1-5-22706</t>
  </si>
  <si>
    <t>herbicide1-6-22706</t>
  </si>
  <si>
    <t>herbicide1-7-22706</t>
  </si>
  <si>
    <t>herbicide1-8-22706</t>
  </si>
  <si>
    <t>herbicide2-1-22706</t>
  </si>
  <si>
    <t>herbicide2-2-22706</t>
  </si>
  <si>
    <t>herbicide2-3-22706</t>
  </si>
  <si>
    <t>herbicide2-4-22706</t>
  </si>
  <si>
    <t>herbicide2-5-22706</t>
  </si>
  <si>
    <t>herbicide2-6-22706</t>
  </si>
  <si>
    <t>herbicide2-7-22706</t>
  </si>
  <si>
    <t>herbicide2-8-22706</t>
  </si>
  <si>
    <t>herbicide2-9-22706</t>
  </si>
  <si>
    <t>insecticide1-1-22706</t>
  </si>
  <si>
    <t>insecticide1-2-22706</t>
  </si>
  <si>
    <t>insecticide1-3-22706</t>
  </si>
  <si>
    <t>insecticide1-4-22706</t>
  </si>
  <si>
    <t>insecticide2-1-22706</t>
  </si>
  <si>
    <t>insecticide2-2-22706</t>
  </si>
  <si>
    <t>insecticide2-3-22706</t>
  </si>
  <si>
    <t>insecticide2-4-22706</t>
  </si>
  <si>
    <t>insecticide2-5-22706</t>
  </si>
  <si>
    <t>labor-1-22706</t>
  </si>
  <si>
    <t>labor-2-22706</t>
  </si>
  <si>
    <t>labor-3-22706</t>
  </si>
  <si>
    <t>irrigation1-1-22706</t>
  </si>
  <si>
    <t>irrigation1-2-22706</t>
  </si>
  <si>
    <t>irrigation1-3-22706</t>
  </si>
  <si>
    <t>land-1-22706</t>
  </si>
  <si>
    <t>land-2-22706</t>
  </si>
  <si>
    <t>land-3-22706</t>
  </si>
  <si>
    <t>land-3-9106</t>
  </si>
  <si>
    <t>land-4-22706</t>
  </si>
  <si>
    <t>otheritems1-1-22706</t>
  </si>
  <si>
    <t>otheritems1-2-22706</t>
  </si>
  <si>
    <t>otheritems1-3-22706</t>
  </si>
  <si>
    <t>otheritems1-4-22706</t>
  </si>
  <si>
    <t>otheritems1-5-22706</t>
  </si>
  <si>
    <t>otheritems1-6-22706</t>
  </si>
  <si>
    <t>otheritems1-7-22706</t>
  </si>
  <si>
    <t>postharvest-1-22706</t>
  </si>
  <si>
    <t>postharvest-2-22706</t>
  </si>
  <si>
    <t>postharvest-3-22706</t>
  </si>
  <si>
    <t>postharvest-4-22706</t>
  </si>
  <si>
    <t>postharvest-5-22706</t>
  </si>
  <si>
    <t>postharvest-6-22706</t>
  </si>
  <si>
    <t>postharvest-7-22706</t>
  </si>
  <si>
    <t>postharvest-8-22706</t>
  </si>
  <si>
    <t>postharvest-9-22706</t>
  </si>
  <si>
    <t>postharvest-10-22706</t>
  </si>
  <si>
    <t>overhead-1-22706</t>
  </si>
  <si>
    <t>overhead-2-22706</t>
  </si>
  <si>
    <t>overhead-3-22706</t>
  </si>
  <si>
    <t>overhead-4-22706</t>
  </si>
  <si>
    <t>overhead-5-22706</t>
  </si>
  <si>
    <t>overhead-6-22706</t>
  </si>
  <si>
    <t>landlord_share-1-22706</t>
  </si>
  <si>
    <t>landlord_share-2-22706</t>
  </si>
  <si>
    <t>landlord_share-3-22706</t>
  </si>
  <si>
    <t>landlord_share-4-22706</t>
  </si>
  <si>
    <t>landlord_share-5-22706</t>
  </si>
  <si>
    <t>landlord_share-6-22706</t>
  </si>
  <si>
    <t>landlord_share-7-22706</t>
  </si>
  <si>
    <t>landlord_share-8-22706</t>
  </si>
  <si>
    <t>landlord_share-9-22706</t>
  </si>
  <si>
    <t>landlord_share-10-22706</t>
  </si>
  <si>
    <t>landlord_share-11-22706</t>
  </si>
  <si>
    <t>customhire1-1-22706</t>
  </si>
  <si>
    <t>customhire1-2-22706</t>
  </si>
  <si>
    <t>customhire1-3-22706</t>
  </si>
  <si>
    <t>customhire1-4-22706</t>
  </si>
  <si>
    <t>customhire1-5-22706</t>
  </si>
  <si>
    <t>customhire1-6-22706</t>
  </si>
  <si>
    <t>customhire1-7-22706</t>
  </si>
  <si>
    <t>customhire1-8-22706</t>
  </si>
  <si>
    <t>customhire1-9-22706</t>
  </si>
  <si>
    <t>customhire1-10-22706</t>
  </si>
  <si>
    <t>customhire1-11-22706</t>
  </si>
  <si>
    <t>customhire1-12-22706</t>
  </si>
  <si>
    <t>customhire1-13-22706</t>
  </si>
  <si>
    <t>customhire2-1-22706</t>
  </si>
  <si>
    <t>customhire2-2-22706</t>
  </si>
  <si>
    <t>customhire2-3-22706</t>
  </si>
  <si>
    <t>customhire2-4-22706</t>
  </si>
  <si>
    <t>customhire2-5-22706</t>
  </si>
  <si>
    <t>customhire2-6-22706</t>
  </si>
  <si>
    <t>customhire2-7-22706</t>
  </si>
  <si>
    <t>customhire2-8-22706</t>
  </si>
  <si>
    <t>size-1-3806</t>
  </si>
  <si>
    <t>15 ft</t>
  </si>
  <si>
    <t>size-2-3806</t>
  </si>
  <si>
    <t>16.3 ft</t>
  </si>
  <si>
    <t>size-3-3806</t>
  </si>
  <si>
    <t>6 ft</t>
  </si>
  <si>
    <t>size-4-3806</t>
  </si>
  <si>
    <t>35 ft</t>
  </si>
  <si>
    <t>size-5-3806</t>
  </si>
  <si>
    <t>30 ft</t>
  </si>
  <si>
    <t>size-6-3806</t>
  </si>
  <si>
    <t>30" O.C., 17 ft</t>
  </si>
  <si>
    <t>size-7-3806</t>
  </si>
  <si>
    <t>16 ft</t>
  </si>
  <si>
    <t>size-8-3806</t>
  </si>
  <si>
    <t>17.5 ft</t>
  </si>
  <si>
    <t>size-9-3806</t>
  </si>
  <si>
    <t>22 ft</t>
  </si>
  <si>
    <t>size-10-3806</t>
  </si>
  <si>
    <t>12 ft</t>
  </si>
  <si>
    <t>size-11-3806</t>
  </si>
  <si>
    <t>6 row</t>
  </si>
  <si>
    <t>size-12-3806</t>
  </si>
  <si>
    <t>(16/31 row 30/15")</t>
  </si>
  <si>
    <t>size-13-3806</t>
  </si>
  <si>
    <t>size-14-3806</t>
  </si>
  <si>
    <t>size-15-3806</t>
  </si>
  <si>
    <t>size-16-3806</t>
  </si>
  <si>
    <t>size-17-3806</t>
  </si>
  <si>
    <t>size-18-3806</t>
  </si>
  <si>
    <t>size-27-101707</t>
  </si>
  <si>
    <t>7 ft swath</t>
  </si>
  <si>
    <t>size-19-3806</t>
  </si>
  <si>
    <t>size-28-101707</t>
  </si>
  <si>
    <t>size-25-101707</t>
  </si>
  <si>
    <t>10 wheel, 20 ft</t>
  </si>
  <si>
    <t>size-26-101707</t>
  </si>
  <si>
    <t>9.5 ft</t>
  </si>
  <si>
    <t>size-20-101707</t>
  </si>
  <si>
    <t>1000 lb</t>
  </si>
  <si>
    <t>size-21-3806</t>
  </si>
  <si>
    <t>size-22-3806</t>
  </si>
  <si>
    <t>size-23-3806</t>
  </si>
  <si>
    <t>8 row</t>
  </si>
  <si>
    <t>size-24-3806</t>
  </si>
  <si>
    <t>500 bushel</t>
  </si>
  <si>
    <t>power-1-22706</t>
  </si>
  <si>
    <t>power-2-22706</t>
  </si>
  <si>
    <t>power-3-22706</t>
  </si>
  <si>
    <t>power-4-22706</t>
  </si>
  <si>
    <t>310 4WD</t>
  </si>
  <si>
    <t>power-5-22706</t>
  </si>
  <si>
    <t>power-6-22706</t>
  </si>
  <si>
    <t>power-7-22706</t>
  </si>
  <si>
    <t>power-8-22706</t>
  </si>
  <si>
    <t>power-9-22706</t>
  </si>
  <si>
    <t>power-10-22706</t>
  </si>
  <si>
    <t>power-11-22706</t>
  </si>
  <si>
    <t>power-12-22706</t>
  </si>
  <si>
    <t>200 MFWD</t>
  </si>
  <si>
    <t>power-13-22706</t>
  </si>
  <si>
    <t>power-14-22706</t>
  </si>
  <si>
    <t>power-15-22706</t>
  </si>
  <si>
    <t>power-16-22706</t>
  </si>
  <si>
    <t>power-17-22706</t>
  </si>
  <si>
    <t>power-18-22706</t>
  </si>
  <si>
    <t>power-19-22706</t>
  </si>
  <si>
    <t>power-20-22706</t>
  </si>
  <si>
    <t>130 MFWD</t>
  </si>
  <si>
    <t>power-21-22706</t>
  </si>
  <si>
    <t>power-22-22706</t>
  </si>
  <si>
    <t>power-23-22706</t>
  </si>
  <si>
    <t>power-24-22706</t>
  </si>
  <si>
    <t>power-25-22706</t>
  </si>
  <si>
    <t>power-26-22706</t>
  </si>
  <si>
    <t>power-27-22706</t>
  </si>
  <si>
    <t>power-28-22706</t>
  </si>
  <si>
    <t>power-29-22706</t>
  </si>
  <si>
    <t>power-30-22706</t>
  </si>
  <si>
    <t>power-31-22706</t>
  </si>
  <si>
    <t>power-32-22706</t>
  </si>
  <si>
    <t>power-33-22706</t>
  </si>
  <si>
    <t>power-34-22706</t>
  </si>
  <si>
    <t>power-35-22706</t>
  </si>
  <si>
    <t>power-36-22706</t>
  </si>
  <si>
    <t>power-37-22706</t>
  </si>
  <si>
    <t>power-38-22706</t>
  </si>
  <si>
    <t>passes-1-22706</t>
  </si>
  <si>
    <t>passes-2-22706</t>
  </si>
  <si>
    <t>passes-3-22706</t>
  </si>
  <si>
    <t>passes-4-22706</t>
  </si>
  <si>
    <t>passes-5-22706</t>
  </si>
  <si>
    <t>passes-6-22706</t>
  </si>
  <si>
    <t>passes-7-22706</t>
  </si>
  <si>
    <t>passes-8-22706</t>
  </si>
  <si>
    <t>passes-9-22706</t>
  </si>
  <si>
    <t>passes-10-22706</t>
  </si>
  <si>
    <t>passes-11-22706</t>
  </si>
  <si>
    <t>passes-12-22706</t>
  </si>
  <si>
    <t>passes-13-22706</t>
  </si>
  <si>
    <t>passes-14-22706</t>
  </si>
  <si>
    <t>passes-15-22706</t>
  </si>
  <si>
    <t>passes-16-22706</t>
  </si>
  <si>
    <t>passes-17-22706</t>
  </si>
  <si>
    <t>passes-18-22706</t>
  </si>
  <si>
    <t>passes-19-22706</t>
  </si>
  <si>
    <t>passes-20-22706</t>
  </si>
  <si>
    <t>passes-21-22706</t>
  </si>
  <si>
    <t>passes-22-22706</t>
  </si>
  <si>
    <t>passes-23-22706</t>
  </si>
  <si>
    <t>passes-24-22706</t>
  </si>
  <si>
    <t>passes-25-22706</t>
  </si>
  <si>
    <t>passes-26-22706</t>
  </si>
  <si>
    <t>passes-27-22706</t>
  </si>
  <si>
    <t>passes-28-22706</t>
  </si>
  <si>
    <t>passes-29-22706</t>
  </si>
  <si>
    <t>passes-30-22706</t>
  </si>
  <si>
    <t>passes-31-22706</t>
  </si>
  <si>
    <t>passes-32-22706</t>
  </si>
  <si>
    <t>passes-33-22706</t>
  </si>
  <si>
    <t>passes-34-22706</t>
  </si>
  <si>
    <t>passes-35-22706</t>
  </si>
  <si>
    <t>passes-36-22706</t>
  </si>
  <si>
    <t>passes-37-22706</t>
  </si>
  <si>
    <t>passes-38-22706</t>
  </si>
  <si>
    <t>passes-39-22706</t>
  </si>
  <si>
    <t>passes-40-22706</t>
  </si>
  <si>
    <t>rent-1-82906</t>
  </si>
  <si>
    <t>rent-2-82906</t>
  </si>
  <si>
    <t>rent-3-82906</t>
  </si>
  <si>
    <t>rent-4-82906</t>
  </si>
  <si>
    <t>rent-5-82906</t>
  </si>
  <si>
    <t>rent-6-82906</t>
  </si>
  <si>
    <t>rent-7-82906</t>
  </si>
  <si>
    <t>rent-8-82906</t>
  </si>
  <si>
    <t>rent-9-82906</t>
  </si>
  <si>
    <t>rent-10-82906</t>
  </si>
  <si>
    <t>rent-11-82906</t>
  </si>
  <si>
    <t>rent-12-82906</t>
  </si>
  <si>
    <t>rent-13-82906</t>
  </si>
  <si>
    <t>rent-14-82906</t>
  </si>
  <si>
    <t>rent-15-82906</t>
  </si>
  <si>
    <t>rent-16-82906</t>
  </si>
  <si>
    <t>rent-17-82906</t>
  </si>
  <si>
    <t>rent-18-82906</t>
  </si>
  <si>
    <t>rent-19-82906</t>
  </si>
  <si>
    <t>rent-20-82906</t>
  </si>
  <si>
    <t>rent-21-82906</t>
  </si>
  <si>
    <t>rent-22-82906</t>
  </si>
  <si>
    <t>rent-23-82906</t>
  </si>
  <si>
    <t>rent-24-82906</t>
  </si>
  <si>
    <t>rent-25-82906</t>
  </si>
  <si>
    <t>rent-26-82906</t>
  </si>
  <si>
    <t>rent-27-82906</t>
  </si>
  <si>
    <t>rent-28-82906</t>
  </si>
  <si>
    <t>rent-29-82906</t>
  </si>
  <si>
    <t>rent-30-82906</t>
  </si>
  <si>
    <t>rent-31-82906</t>
  </si>
  <si>
    <t>rent-32-82906</t>
  </si>
  <si>
    <t>rent-33-82906</t>
  </si>
  <si>
    <t>rent-34-82906</t>
  </si>
  <si>
    <t>rent-35-82906</t>
  </si>
  <si>
    <t>rent-36-82906</t>
  </si>
  <si>
    <t>rent-37-82906</t>
  </si>
  <si>
    <t>rent-38-82906</t>
  </si>
  <si>
    <t>rent-39-82906</t>
  </si>
  <si>
    <t>rent-40-82906</t>
  </si>
  <si>
    <t>2015 DoubleCrop</t>
  </si>
  <si>
    <t>Irrigation</t>
  </si>
  <si>
    <t>None</t>
  </si>
  <si>
    <t xml:space="preserve">Developed by: </t>
  </si>
  <si>
    <t>Input Assumptions</t>
  </si>
  <si>
    <t>Annual percentage</t>
  </si>
  <si>
    <t>Skilled labor</t>
  </si>
  <si>
    <t>Diesel fuel</t>
  </si>
  <si>
    <t xml:space="preserve">Management </t>
  </si>
  <si>
    <t>INCOME OVER OPERATING COSTS</t>
  </si>
  <si>
    <t>INCOME OVER TOTAL COSTS</t>
  </si>
  <si>
    <t>RETURN TO LAND AND MANAGEMENT</t>
  </si>
  <si>
    <t>Income</t>
  </si>
  <si>
    <t>Operating costs</t>
  </si>
  <si>
    <t>Total operating costs</t>
  </si>
  <si>
    <t>Total income</t>
  </si>
  <si>
    <t>Winter Wheat Enterprise Budget</t>
  </si>
  <si>
    <t>Total costs</t>
  </si>
  <si>
    <t>Machinery ownership</t>
  </si>
  <si>
    <t>Implements</t>
  </si>
  <si>
    <t>Selection</t>
  </si>
  <si>
    <t>Implement type</t>
  </si>
  <si>
    <t>Width</t>
  </si>
  <si>
    <t>Width Unit</t>
  </si>
  <si>
    <t>Size</t>
  </si>
  <si>
    <t>Size unit</t>
  </si>
  <si>
    <t>PriceP</t>
  </si>
  <si>
    <t>Discount</t>
  </si>
  <si>
    <t>PriceL</t>
  </si>
  <si>
    <t>Life (yr)</t>
  </si>
  <si>
    <t>Use (hr/yr)</t>
  </si>
  <si>
    <t>Use (ac/yr)</t>
  </si>
  <si>
    <t>ASABEtype</t>
  </si>
  <si>
    <t>Speed</t>
  </si>
  <si>
    <t>Efficiency</t>
  </si>
  <si>
    <t>LaborUse</t>
  </si>
  <si>
    <t>Shed (ft^2)</t>
  </si>
  <si>
    <t>TradeIn%</t>
  </si>
  <si>
    <t>TradeIn$</t>
  </si>
  <si>
    <t>OH ($/ac)</t>
  </si>
  <si>
    <t>hr/ac</t>
  </si>
  <si>
    <t>Ownership costs($/ac)</t>
  </si>
  <si>
    <t>Order in Lazarus</t>
  </si>
  <si>
    <t>Operation type</t>
  </si>
  <si>
    <t>Ft</t>
  </si>
  <si>
    <t>Skid-steer loader</t>
  </si>
  <si>
    <t>Anhydrous applicator</t>
  </si>
  <si>
    <t>Fertilizer spreader</t>
  </si>
  <si>
    <t>Fertilization</t>
  </si>
  <si>
    <t>Cultimulcher</t>
  </si>
  <si>
    <t>Mulcher-packer</t>
  </si>
  <si>
    <t>Finish tillage</t>
  </si>
  <si>
    <t>Field cultivator</t>
  </si>
  <si>
    <t>Field cultivators</t>
  </si>
  <si>
    <t>Tandem disk</t>
  </si>
  <si>
    <t>Tandem disk harrow</t>
  </si>
  <si>
    <t>Chisel plow</t>
  </si>
  <si>
    <t>Forage harvester, pull-type w/corn head</t>
  </si>
  <si>
    <t>Row</t>
  </si>
  <si>
    <t>Forage harvesters</t>
  </si>
  <si>
    <t>Forage harvester, pull-type w/pickup head</t>
  </si>
  <si>
    <t>Forage harvester, self-prop corn head</t>
  </si>
  <si>
    <t>Forage harvester (SP)</t>
  </si>
  <si>
    <t>Ft Folding</t>
  </si>
  <si>
    <t>Forage harvester, self-prop pickup head (2X windrows)</t>
  </si>
  <si>
    <t>Forage harvester, self-prop pickup head</t>
  </si>
  <si>
    <t>Combine belt pickup hd</t>
  </si>
  <si>
    <t>Combine</t>
  </si>
  <si>
    <t>Grain harvest</t>
  </si>
  <si>
    <t>Combine chopping corn hd</t>
  </si>
  <si>
    <t>Beet topper/stalk chopper</t>
  </si>
  <si>
    <t>Combine corn hd</t>
  </si>
  <si>
    <t>Combine platform</t>
  </si>
  <si>
    <t>Wagon</t>
  </si>
  <si>
    <t>Disk mower</t>
  </si>
  <si>
    <t>Mower (rotary)</t>
  </si>
  <si>
    <t>Hay equipment</t>
  </si>
  <si>
    <t>Disk mower/conditioner</t>
  </si>
  <si>
    <t>Mower-conditioner (rotary)</t>
  </si>
  <si>
    <t>Hay merger</t>
  </si>
  <si>
    <t>Side delivery rake</t>
  </si>
  <si>
    <t>Windrower (SP)</t>
  </si>
  <si>
    <t>Hay rake</t>
  </si>
  <si>
    <t>wheel</t>
  </si>
  <si>
    <t>Hay tedder</t>
  </si>
  <si>
    <t>basket</t>
  </si>
  <si>
    <t>Inline bale wrapper</t>
  </si>
  <si>
    <t>Total mixed ration mixer wagons</t>
  </si>
  <si>
    <t>Large rectangular baler</t>
  </si>
  <si>
    <t>3x3</t>
  </si>
  <si>
    <t>4x3</t>
  </si>
  <si>
    <t>Round baler w/net wrap</t>
  </si>
  <si>
    <t>5x6</t>
  </si>
  <si>
    <t>Large round baler</t>
  </si>
  <si>
    <t>Round baler</t>
  </si>
  <si>
    <t>Small square baler, twine tie</t>
  </si>
  <si>
    <t>Rectangular baler</t>
  </si>
  <si>
    <t>Rotary Mower (brush hog)</t>
  </si>
  <si>
    <t>Land management</t>
  </si>
  <si>
    <t>Stalk shredder</t>
  </si>
  <si>
    <t>Air seeder drill w/cart</t>
  </si>
  <si>
    <t>Grain drill</t>
  </si>
  <si>
    <t>Planters</t>
  </si>
  <si>
    <t>No-till drill</t>
  </si>
  <si>
    <t>Presswheel drill</t>
  </si>
  <si>
    <t>Row crop planter</t>
  </si>
  <si>
    <t>Primary tillage</t>
  </si>
  <si>
    <t xml:space="preserve">Chisel plow, front dsk </t>
  </si>
  <si>
    <t>Moldboard plow</t>
  </si>
  <si>
    <t>Bottom</t>
  </si>
  <si>
    <t>Boom sprayer - pull-type</t>
  </si>
  <si>
    <t>Boom type sprayer</t>
  </si>
  <si>
    <t>Weed control</t>
  </si>
  <si>
    <t>Boom sprayer - self-propelled</t>
  </si>
  <si>
    <t>Row cultivator</t>
  </si>
  <si>
    <t>Row crop cultivator</t>
  </si>
  <si>
    <t>Power equipment</t>
  </si>
  <si>
    <t>HP &amp; descriptive information</t>
  </si>
  <si>
    <t>HP</t>
  </si>
  <si>
    <t>Information</t>
  </si>
  <si>
    <t>Fuel (gal/hph)</t>
  </si>
  <si>
    <t>Depr ($/hr)</t>
  </si>
  <si>
    <t>OH ($/hr)</t>
  </si>
  <si>
    <t>Rep ($/hr)</t>
  </si>
  <si>
    <t>Fuel (gal/hr)</t>
  </si>
  <si>
    <t>Ownership costs ($/hr)</t>
  </si>
  <si>
    <t>HP TWD</t>
  </si>
  <si>
    <t>Two wheel drive tractors</t>
  </si>
  <si>
    <t>HP MFWD</t>
  </si>
  <si>
    <t>Mech. front wheel drive tractors</t>
  </si>
  <si>
    <t>HP 4WD</t>
  </si>
  <si>
    <t>Four wheel drive tractors &amp; crawlers</t>
  </si>
  <si>
    <t>HP Tracked 4WD</t>
  </si>
  <si>
    <t>HP Combine</t>
  </si>
  <si>
    <t>HP SP Forage Harvester Base Unit</t>
  </si>
  <si>
    <t>American Society of Agricultural and Biological Engineers, sections D497.5 FEB2006 and EP496.3 FEB2006</t>
  </si>
  <si>
    <t>Notes: I reduced this from the table Lazarus provides by eliminating the reference to Wu-Perry coefficients</t>
  </si>
  <si>
    <t>Items from Lazarus machdata.xls. Values may have been changed by me.</t>
  </si>
  <si>
    <t>"Coefficients" table</t>
  </si>
  <si>
    <t>Implement used</t>
  </si>
  <si>
    <t>Power Used</t>
  </si>
  <si>
    <t xml:space="preserve">Fuel </t>
  </si>
  <si>
    <t xml:space="preserve">Labor </t>
  </si>
  <si>
    <t>Operating</t>
  </si>
  <si>
    <t>Ownership</t>
  </si>
  <si>
    <t>Total
 cost</t>
  </si>
  <si>
    <t>ASABE Category</t>
  </si>
  <si>
    <t>RF1</t>
  </si>
  <si>
    <t>RF2</t>
  </si>
  <si>
    <t>Life (hr)</t>
  </si>
  <si>
    <t>RV1</t>
  </si>
  <si>
    <t>RV2</t>
  </si>
  <si>
    <t>RV3</t>
  </si>
  <si>
    <t>RV4</t>
  </si>
  <si>
    <t>δ</t>
  </si>
  <si>
    <t>Note</t>
  </si>
  <si>
    <t>Item</t>
  </si>
  <si>
    <t>Value</t>
  </si>
  <si>
    <t>Costs</t>
  </si>
  <si>
    <t>Air-carrier sprayer</t>
  </si>
  <si>
    <t>Labor ($/hr)</t>
  </si>
  <si>
    <t>gallon/acre covered</t>
  </si>
  <si>
    <t>hours/acre covered</t>
  </si>
  <si>
    <t>$/acre covered</t>
  </si>
  <si>
    <t>per acre operated</t>
  </si>
  <si>
    <t>$/acre operated</t>
  </si>
  <si>
    <t>Bean puller-windrower</t>
  </si>
  <si>
    <t>Interest rate, % of average investment</t>
  </si>
  <si>
    <t>Insurance Rate</t>
  </si>
  <si>
    <t>Property taxes</t>
  </si>
  <si>
    <t>Fuel price, $/gallon</t>
  </si>
  <si>
    <t>***</t>
  </si>
  <si>
    <t>Lubrication cost, % of fuel</t>
  </si>
  <si>
    <t>Corn picker sheller</t>
  </si>
  <si>
    <t>Storage cost/sq. foot of space</t>
  </si>
  <si>
    <t>Cotton picker</t>
  </si>
  <si>
    <t>Inflation Rate, % per year</t>
  </si>
  <si>
    <t>2023 U.S. net farm income forecast ($ billions)</t>
  </si>
  <si>
    <t>Forage blower</t>
  </si>
  <si>
    <t>GDP implicit price deflator, 1996</t>
  </si>
  <si>
    <t>Forage harvester</t>
  </si>
  <si>
    <t>Real net farm income projected at trade-in, in $ billion 1996 dollars</t>
  </si>
  <si>
    <t>Acres conversion factor</t>
  </si>
  <si>
    <t>Forage wagons</t>
  </si>
  <si>
    <t>Heavy Duty disk harrow</t>
  </si>
  <si>
    <t>Manure handling equipment</t>
  </si>
  <si>
    <t>*</t>
  </si>
  <si>
    <t>Moldboard plows</t>
  </si>
  <si>
    <t>Mower</t>
  </si>
  <si>
    <t>Mower-conditioner</t>
  </si>
  <si>
    <t>Potato harvester</t>
  </si>
  <si>
    <t>Roller packer</t>
  </si>
  <si>
    <t>Rotary hoe</t>
  </si>
  <si>
    <t>Rotary tiller</t>
  </si>
  <si>
    <t>Spring tooth harrow</t>
  </si>
  <si>
    <t>Sugar beet harvester</t>
  </si>
  <si>
    <t>Activity</t>
  </si>
  <si>
    <t>Avg. cost/unit</t>
  </si>
  <si>
    <t>Unit</t>
  </si>
  <si>
    <t>Source</t>
  </si>
  <si>
    <t>Field work</t>
  </si>
  <si>
    <t>MU Custom Rates, 2023</t>
  </si>
  <si>
    <t xml:space="preserve">Activity </t>
  </si>
  <si>
    <t>Rate</t>
  </si>
  <si>
    <t>Heavy or offset disking</t>
  </si>
  <si>
    <t xml:space="preserve">Apply dry fertilizer on cropland, single spread </t>
  </si>
  <si>
    <t>Vertical tillage tool</t>
  </si>
  <si>
    <t>Cut brush (brush hog)</t>
  </si>
  <si>
    <t>per hour</t>
  </si>
  <si>
    <t>Mow pasture or CRP land</t>
  </si>
  <si>
    <t>Planting</t>
  </si>
  <si>
    <t>Conventional planting, corn or grain sorghum, 30-inch rows</t>
  </si>
  <si>
    <t>Conventional planting, corn or grain sorghum, narrow rows</t>
  </si>
  <si>
    <t>Move round (or large square) bales locally</t>
  </si>
  <si>
    <t>Conventional planting, corn or grain sorghum, plant and apply fertilizer or chemicals</t>
  </si>
  <si>
    <t>Tube wrap round bales, with wrap</t>
  </si>
  <si>
    <t>Conventional planting, soybean, 30-inch rows</t>
  </si>
  <si>
    <t>Conventional planting, soybean, 15-inch rows</t>
  </si>
  <si>
    <t>Conventional planting, soybean, drill</t>
  </si>
  <si>
    <t>Conventional planting, small grains or forage crops, drill</t>
  </si>
  <si>
    <t>No-till planting, corn or grain sorghum, 30-inch rows</t>
  </si>
  <si>
    <t>No-till planting, corn or grain sorghum, narrow rows</t>
  </si>
  <si>
    <t>No-till planting, soybean, 30-inch rows</t>
  </si>
  <si>
    <t>No-till planting, soybean, 15-inch rows</t>
  </si>
  <si>
    <t>No-till planting, small grains or forage crops, drill</t>
  </si>
  <si>
    <t>Fert and chemicals</t>
  </si>
  <si>
    <t>Apply dry fertilizer on cropland, double spread</t>
  </si>
  <si>
    <t xml:space="preserve">Silage chopping </t>
  </si>
  <si>
    <t>Apply dry fertilizer on cropland, variable rate</t>
  </si>
  <si>
    <t>Apply dry fertilizer on pasture, topdressing</t>
  </si>
  <si>
    <t xml:space="preserve">Apply dry fertilizer plus seed </t>
  </si>
  <si>
    <t>Spray liquid fertilizer</t>
  </si>
  <si>
    <t>Spray liquid fertilizer and other chemicals</t>
  </si>
  <si>
    <t>Inject anhydrous ammonia</t>
  </si>
  <si>
    <t>Spray chemicals with pull-type sprayer</t>
  </si>
  <si>
    <t>Deliver and spread lime (includes lime)</t>
  </si>
  <si>
    <t>per ton</t>
  </si>
  <si>
    <t>Spread lime only</t>
  </si>
  <si>
    <t>Spray chemicals with self-propelled crop sprayer</t>
  </si>
  <si>
    <t>Spray chemicals with floater</t>
  </si>
  <si>
    <t>Harvest and haul</t>
  </si>
  <si>
    <t>Combine corn</t>
  </si>
  <si>
    <t>Combine soybean</t>
  </si>
  <si>
    <t>Combine small grains</t>
  </si>
  <si>
    <t>Combine grass seed</t>
  </si>
  <si>
    <t>Grain cart, in field</t>
  </si>
  <si>
    <t>Haul grain or seed from field to farm storage</t>
  </si>
  <si>
    <t>per bushel</t>
  </si>
  <si>
    <t>Haul grain or seed from bin to market</t>
  </si>
  <si>
    <t>per loaded mile</t>
  </si>
  <si>
    <t>Cut and condition hay</t>
  </si>
  <si>
    <t>Rake hay</t>
  </si>
  <si>
    <t>Round bale only with net wrap</t>
  </si>
  <si>
    <t>per bale</t>
  </si>
  <si>
    <t>Cut, rake and bale with net wrap</t>
  </si>
  <si>
    <t>Corn Silage Pricing Spreadsheet, 2023</t>
  </si>
  <si>
    <t>Cotton</t>
  </si>
  <si>
    <t>Peanuts</t>
  </si>
  <si>
    <t>Irrigation costs</t>
  </si>
  <si>
    <t>Center pivot</t>
  </si>
  <si>
    <t>Repairs</t>
  </si>
  <si>
    <t>Lifespan (hours)</t>
  </si>
  <si>
    <t>Acre-inch is equal to 27,154 gallons</t>
  </si>
  <si>
    <t>Subsoiler</t>
  </si>
  <si>
    <t>Bed leveler</t>
  </si>
  <si>
    <t>Strip-till</t>
  </si>
  <si>
    <t>Vegetable transplanter</t>
  </si>
  <si>
    <t>Peanut digger</t>
  </si>
  <si>
    <t>Peanut combine</t>
  </si>
  <si>
    <t>Peanut dump cart</t>
  </si>
  <si>
    <t>Cotton Picker</t>
  </si>
  <si>
    <t>Cotton Module Builder</t>
  </si>
  <si>
    <t>Cotton picker with baler</t>
  </si>
  <si>
    <t>Cotton stalk puller</t>
  </si>
  <si>
    <t>Coulter-side dress applicator</t>
  </si>
  <si>
    <t>4 shank</t>
  </si>
  <si>
    <t>7 shank</t>
  </si>
  <si>
    <t>9 shank</t>
  </si>
  <si>
    <t>12 row</t>
  </si>
  <si>
    <t>4 row</t>
  </si>
  <si>
    <t>Sprayer, hooded</t>
  </si>
  <si>
    <t>Sprayer, lay-by</t>
  </si>
  <si>
    <t>ft</t>
  </si>
  <si>
    <t>950 cf</t>
  </si>
  <si>
    <t>Furrow farming</t>
  </si>
  <si>
    <t>Transplanter</t>
  </si>
  <si>
    <t>Chemical application</t>
  </si>
  <si>
    <t>Peanut farming</t>
  </si>
  <si>
    <t>Cotton harvest</t>
  </si>
  <si>
    <t>Fertilizer application</t>
  </si>
  <si>
    <t>HP SP Cotton Picker</t>
  </si>
  <si>
    <t>340 HP MFWD</t>
  </si>
  <si>
    <t xml:space="preserve">Copy entire selection to "Machinery Input table" sheet to replace </t>
  </si>
  <si>
    <t>Use basis</t>
  </si>
  <si>
    <t>Depr ($/ac)2</t>
  </si>
  <si>
    <t>Rep ($/ac)4</t>
  </si>
  <si>
    <t>acre</t>
  </si>
  <si>
    <t>Off-road vehicles</t>
  </si>
  <si>
    <t>New</t>
  </si>
  <si>
    <t>Ton 4x4 Pickup</t>
  </si>
  <si>
    <t>Light duty trucks</t>
  </si>
  <si>
    <t>New, dually, regular cab, gas engine</t>
  </si>
  <si>
    <t>HP Tandem grain truck</t>
  </si>
  <si>
    <t>Heavy duty trucks</t>
  </si>
  <si>
    <t>less than 20 year old fresh build tandem 20-22ft aluminum bed</t>
  </si>
  <si>
    <t>5-15 year old used daycab less than 400k miles</t>
  </si>
  <si>
    <t>Grain cart</t>
  </si>
  <si>
    <t>hour</t>
  </si>
  <si>
    <t>Grain trailer</t>
  </si>
  <si>
    <t>Bushel HB</t>
  </si>
  <si>
    <t>Trailers</t>
  </si>
  <si>
    <t>Hay trailer</t>
  </si>
  <si>
    <t>Bale</t>
  </si>
  <si>
    <t>Livestock trailer</t>
  </si>
  <si>
    <t xml:space="preserve"> ton cap. 7x20 gooseneck</t>
  </si>
  <si>
    <t>Reset formula to input sheet after copying over</t>
  </si>
  <si>
    <t>Sickle bar mower</t>
  </si>
  <si>
    <t>https://www.durattach.com/108-inch-farm-maxx-sbm-series-sickle-bar-mowers-model-fsbm-9h.html</t>
  </si>
  <si>
    <t>HP SP Sprayer</t>
  </si>
  <si>
    <t>New JD 410R</t>
  </si>
  <si>
    <t>275 HP SP Sprayer</t>
  </si>
  <si>
    <t>Flood</t>
  </si>
  <si>
    <t>35 minutes per acre inch at 700 GPM</t>
  </si>
  <si>
    <t>acre inch</t>
  </si>
  <si>
    <t>water efficiency</t>
  </si>
  <si>
    <t>Land leveling</t>
  </si>
  <si>
    <t>https://www.irrigation-mart.com/items/DH-PP161010WA?srsltid=AfmBOopMUkCIS0dT13leJSTlolrJ69zFIo-Uq38TtHrMUOjSzX2PryiD</t>
  </si>
  <si>
    <t>CSU irrigation guide</t>
  </si>
  <si>
    <t>pounds</t>
  </si>
  <si>
    <t>Irrigation type</t>
  </si>
  <si>
    <t>Furrow</t>
  </si>
  <si>
    <t>Non-irrigated</t>
  </si>
  <si>
    <t>Other nutrients</t>
  </si>
  <si>
    <t>Insecticide</t>
  </si>
  <si>
    <t>Fungicide</t>
  </si>
  <si>
    <t>280 HP MFWD</t>
  </si>
  <si>
    <t>Boom sprayer - self-propelled, 120 Ft Folding, per acre</t>
  </si>
  <si>
    <t>1 Ton 4x4 Pickup</t>
  </si>
  <si>
    <t>Stalk shredder, 20 Ft, per acre</t>
  </si>
  <si>
    <t>200 HP MFWD</t>
  </si>
  <si>
    <t>Cost per acre</t>
  </si>
  <si>
    <t>Total per acre</t>
  </si>
  <si>
    <t>Aerially apply chemicals</t>
  </si>
  <si>
    <t>Less ginning and hauling</t>
  </si>
  <si>
    <t>Machinery fuel</t>
  </si>
  <si>
    <t>Herbicides</t>
  </si>
  <si>
    <t>1/2 pint clarity</t>
  </si>
  <si>
    <t>16 oz Select</t>
  </si>
  <si>
    <t>3 qt RUP</t>
  </si>
  <si>
    <t>48 oz Gramoxone</t>
  </si>
  <si>
    <t>32oz Cotoran</t>
  </si>
  <si>
    <t>25.6 oz Engenia</t>
  </si>
  <si>
    <t>32 oz Dual mag</t>
  </si>
  <si>
    <t>Insecticides</t>
  </si>
  <si>
    <t>MS state references</t>
  </si>
  <si>
    <t>2 lb acetephate</t>
  </si>
  <si>
    <t>5.2 oz Bidrin</t>
  </si>
  <si>
    <t>2 oz Centric</t>
  </si>
  <si>
    <t>6 oz Diamond</t>
  </si>
  <si>
    <t>2 oz imidacloropid</t>
  </si>
  <si>
    <t>13 oz Bifrenthrin</t>
  </si>
  <si>
    <t>1 oz Lambda</t>
  </si>
  <si>
    <t>$15/acre seed treatment</t>
  </si>
  <si>
    <t>1.5 oz Transform</t>
  </si>
  <si>
    <t>Fungicides</t>
  </si>
  <si>
    <t>Seed treatment $20</t>
  </si>
  <si>
    <t>Growth regulators/harvest aids</t>
  </si>
  <si>
    <t xml:space="preserve">48 oz mepiquat chloride </t>
  </si>
  <si>
    <t>2.3 oz thidiazuron</t>
  </si>
  <si>
    <t>37 oz Ethephon 6E</t>
  </si>
  <si>
    <t>8 oz Tribufos</t>
  </si>
  <si>
    <t>Grain trailer, 1000 Bushel HB, per hour</t>
  </si>
  <si>
    <t>32 oz glyphosate</t>
  </si>
  <si>
    <t>8 oz clarity</t>
  </si>
  <si>
    <t>16 oz select</t>
  </si>
  <si>
    <t>64 oz atrazine</t>
  </si>
  <si>
    <t>58 oz Halex</t>
  </si>
  <si>
    <t>1.3 oz Bifrenthen</t>
  </si>
  <si>
    <t>14 oz Trivapro</t>
  </si>
  <si>
    <t>64 oz glyphosate</t>
  </si>
  <si>
    <t>32 oz 2-4d</t>
  </si>
  <si>
    <t>2 oz valor</t>
  </si>
  <si>
    <t>32 oz boundary</t>
  </si>
  <si>
    <t>48 oz gramoxone</t>
  </si>
  <si>
    <t>56 oz Enlist</t>
  </si>
  <si>
    <t>16 oz dual</t>
  </si>
  <si>
    <t>1.5 oz Zidua</t>
  </si>
  <si>
    <t>0.75 lb Acephate</t>
  </si>
  <si>
    <t>1.6 oz CruiserMaxx</t>
  </si>
  <si>
    <t>13.7 oz Miravis top</t>
  </si>
  <si>
    <t>16 oz gramoxone</t>
  </si>
  <si>
    <t>75 oz sodium chlorate</t>
  </si>
  <si>
    <t>Draper platform</t>
  </si>
  <si>
    <t>Draper platform, 45 Ft, per acre</t>
  </si>
  <si>
    <t>DC Soybeans</t>
  </si>
  <si>
    <t>Hybrid Rice Enterprise Budget</t>
  </si>
  <si>
    <t>Secondary rate</t>
  </si>
  <si>
    <t>Grain drying</t>
  </si>
  <si>
    <t>Draper platform, 35 Ft, per acre</t>
  </si>
  <si>
    <t>Operating costs per pound</t>
  </si>
  <si>
    <t>Ownership costs per pound</t>
  </si>
  <si>
    <t>Total costs per pound</t>
  </si>
  <si>
    <t>13 oz Command</t>
  </si>
  <si>
    <t>1 oz permit</t>
  </si>
  <si>
    <t>11 oz Stratego</t>
  </si>
  <si>
    <t>LSU</t>
  </si>
  <si>
    <t>10 oz quadris</t>
  </si>
  <si>
    <t>3 oz valor</t>
  </si>
  <si>
    <t>24 oz storm</t>
  </si>
  <si>
    <t>4 oz cadre</t>
  </si>
  <si>
    <t>32 oz Butryac 200</t>
  </si>
  <si>
    <t>9 oz Admire pro</t>
  </si>
  <si>
    <t>2.5 oz Acephate</t>
  </si>
  <si>
    <t>12 oz abound</t>
  </si>
  <si>
    <t>24 oz convoy</t>
  </si>
  <si>
    <t>36 oz Bravo</t>
  </si>
  <si>
    <t>9 oz elatus</t>
  </si>
  <si>
    <t>13 oz provost</t>
  </si>
  <si>
    <t>10 oz Axiom</t>
  </si>
  <si>
    <t>1 oz Harmony</t>
  </si>
  <si>
    <t>16 oz Axial</t>
  </si>
  <si>
    <t>5 oz CruiserMaxx</t>
  </si>
  <si>
    <t>14 oz Miravis Ace</t>
  </si>
  <si>
    <t>DC Milo</t>
  </si>
  <si>
    <t>32 oz 2-4 Da</t>
  </si>
  <si>
    <t>96 oz Lexar</t>
  </si>
  <si>
    <t>8 oz Sivanto</t>
  </si>
  <si>
    <t>1.5 oz Warrior II</t>
  </si>
  <si>
    <t>14 oz Prevalon</t>
  </si>
  <si>
    <t>Grain auger</t>
  </si>
  <si>
    <t>Ft long</t>
  </si>
  <si>
    <t>% of revenue</t>
  </si>
  <si>
    <t>Field cultivator, 42 Ft Folding, per acre</t>
  </si>
  <si>
    <t>Tandem disk, 32 Ft Folding, per acre</t>
  </si>
  <si>
    <t>Return over operating costs</t>
  </si>
  <si>
    <t>Crop and payment revenue</t>
  </si>
  <si>
    <t>Return to land and management</t>
  </si>
  <si>
    <t>Return over total costs</t>
  </si>
  <si>
    <t>Return on investment</t>
  </si>
  <si>
    <t>Hybrid Rice</t>
  </si>
  <si>
    <t>Summary of Crop Costs and Returns, per acre</t>
  </si>
  <si>
    <t>Crop Price</t>
  </si>
  <si>
    <t>Return to land and management sensitivity analysis</t>
  </si>
  <si>
    <t>Air seeder drill w/cart, 52 Ft Folding, per acre</t>
  </si>
  <si>
    <t>Conventional Rice Enterprise Budget</t>
  </si>
  <si>
    <t>Check</t>
  </si>
  <si>
    <t>130 HP MFWD</t>
  </si>
  <si>
    <t>hp-hr/gal</t>
  </si>
  <si>
    <t>https://www.ncaar.msstate.edu/outreach/mitool.php</t>
  </si>
  <si>
    <t>of pumping costs</t>
  </si>
  <si>
    <t>Operator labor</t>
  </si>
  <si>
    <t>Conv. Rice</t>
  </si>
  <si>
    <t>Note: Equipment and power selection and data originally from Lazarus Machdata (last updated June 2024) and were updated in August 2025 using dealer reference cash discounts on new machinery by category</t>
  </si>
  <si>
    <t>Cells in grey can be edited with new or user specific information</t>
  </si>
  <si>
    <t>Life used (%)</t>
  </si>
  <si>
    <t>Ton Flatbed truck</t>
  </si>
  <si>
    <t>1980's 2 ton flatbed in decent shape</t>
  </si>
  <si>
    <t>HP Semi truck</t>
  </si>
  <si>
    <t>HP MFWD Cab loader</t>
  </si>
  <si>
    <t>2025 shell estimate of $20/sq. over a 40 year life with no salvage value and 1% annual repair costs</t>
  </si>
  <si>
    <t>https://www.ers.usda.gov/topics/farm-economy/farm-sector-income-finances/farm-sector-income-forecast</t>
  </si>
  <si>
    <t>GDP implicit price deflator, 2025 Q2</t>
  </si>
  <si>
    <t>https://fred.stlouisfed.org/series/GDPDEF</t>
  </si>
  <si>
    <t>working width for 1 mile of travel to work 1 acre</t>
  </si>
  <si>
    <t>200 lb</t>
  </si>
  <si>
    <t>6 ton</t>
  </si>
  <si>
    <t>10 ton</t>
  </si>
  <si>
    <t>Air boom spreader</t>
  </si>
  <si>
    <t>20 ton</t>
  </si>
  <si>
    <t>bushel</t>
  </si>
  <si>
    <t>4x5</t>
  </si>
  <si>
    <t>Finish mower</t>
  </si>
  <si>
    <t>Flatbed trailer</t>
  </si>
  <si>
    <t xml:space="preserve">ton cap.  </t>
  </si>
  <si>
    <t>Orchard work platform</t>
  </si>
  <si>
    <t>2 man</t>
  </si>
  <si>
    <t>Air blast sprayer</t>
  </si>
  <si>
    <t>100 gal</t>
  </si>
  <si>
    <t>Boomless sprayer</t>
  </si>
  <si>
    <t xml:space="preserve">Ft. </t>
  </si>
  <si>
    <t>150 gal</t>
  </si>
  <si>
    <t>del</t>
  </si>
  <si>
    <t>Subsoiler, 20 Ft Folding</t>
  </si>
  <si>
    <t>16 row</t>
  </si>
  <si>
    <t>Bed lister</t>
  </si>
  <si>
    <t>Bed hipper</t>
  </si>
  <si>
    <t xml:space="preserve">Bushel </t>
  </si>
  <si>
    <t>Bed leveler, 36 Ft Folding</t>
  </si>
  <si>
    <t>Grain cart, 1000 Bushel , per hour</t>
  </si>
  <si>
    <t>Combine corn hd, 30 Ft, per acre</t>
  </si>
  <si>
    <t>450 HP Combine</t>
  </si>
  <si>
    <t>475 HP Semi truck</t>
  </si>
  <si>
    <t>Row crop planter, 30 Ft Folding, per acre</t>
  </si>
  <si>
    <t>Bed hipper, 36 Ft Folding</t>
  </si>
  <si>
    <t>Cotton picker with baler, 18 Ft</t>
  </si>
  <si>
    <t xml:space="preserve">Peanut dump cart,  </t>
  </si>
  <si>
    <t>Price/unit</t>
  </si>
  <si>
    <t>Total/acre</t>
  </si>
  <si>
    <t xml:space="preserve">Operating costs </t>
  </si>
  <si>
    <t>seeds</t>
  </si>
  <si>
    <t>seeds per unit</t>
  </si>
  <si>
    <t>tons</t>
  </si>
  <si>
    <t>passes</t>
  </si>
  <si>
    <t>acre-inch</t>
  </si>
  <si>
    <t>points</t>
  </si>
  <si>
    <t>hours</t>
  </si>
  <si>
    <t>gallons</t>
  </si>
  <si>
    <t>% of income</t>
  </si>
  <si>
    <t>percent</t>
  </si>
  <si>
    <t>Ownership costs</t>
  </si>
  <si>
    <t>Total ownership costs</t>
  </si>
  <si>
    <t>Custom hire field activities</t>
  </si>
  <si>
    <t>Producer-owned machinery activities</t>
  </si>
  <si>
    <t>Passes or hours</t>
  </si>
  <si>
    <t>used per acre</t>
  </si>
  <si>
    <t>or vehicle driven</t>
  </si>
  <si>
    <r>
      <rPr>
        <vertAlign val="superscript"/>
        <sz val="10"/>
        <rFont val="Aptos"/>
        <family val="2"/>
      </rPr>
      <t xml:space="preserve">2 </t>
    </r>
    <r>
      <rPr>
        <sz val="10"/>
        <rFont val="Aptos"/>
        <family val="2"/>
      </rPr>
      <t>Machinery ownership cost is the sum of machinery overhead and depreciation.</t>
    </r>
  </si>
  <si>
    <r>
      <rPr>
        <vertAlign val="superscript"/>
        <sz val="10"/>
        <rFont val="Aptos"/>
        <family val="2"/>
      </rPr>
      <t xml:space="preserve">3 </t>
    </r>
    <r>
      <rPr>
        <sz val="10"/>
        <rFont val="Aptos"/>
        <family val="2"/>
      </rPr>
      <t>Totals may not sum due to rounding</t>
    </r>
  </si>
  <si>
    <t>Corn Enterprise Budget</t>
  </si>
  <si>
    <r>
      <t>δ</t>
    </r>
    <r>
      <rPr>
        <vertAlign val="superscript"/>
        <sz val="12"/>
        <color rgb="FFF1B82D"/>
        <rFont val="Aptos"/>
        <family val="2"/>
      </rPr>
      <t>2</t>
    </r>
  </si>
  <si>
    <t>Type</t>
  </si>
  <si>
    <t>Growth regulators/dessicants</t>
  </si>
  <si>
    <t>Soybean Enterprise Budget</t>
  </si>
  <si>
    <t>Double Crop Soybean Enterprise Budget</t>
  </si>
  <si>
    <t>500 HP SP Cotton Picker</t>
  </si>
  <si>
    <t>Cotton Enterprise Budget</t>
  </si>
  <si>
    <t>pounds of seed per unit</t>
  </si>
  <si>
    <t>Peanut digger, 24 Ft</t>
  </si>
  <si>
    <t>Peanut combine, 18 ft</t>
  </si>
  <si>
    <t>Double Crop Milo Enterprise Budget</t>
  </si>
  <si>
    <t>corn</t>
  </si>
  <si>
    <t>soybean</t>
  </si>
  <si>
    <t>cotton</t>
  </si>
  <si>
    <t>peanut</t>
  </si>
  <si>
    <t>H rice</t>
  </si>
  <si>
    <t>C rice</t>
  </si>
  <si>
    <t>Milo</t>
  </si>
  <si>
    <r>
      <t>$/pound P</t>
    </r>
    <r>
      <rPr>
        <vertAlign val="subscript"/>
        <sz val="10"/>
        <rFont val="Aptos"/>
        <family val="2"/>
      </rPr>
      <t>2</t>
    </r>
    <r>
      <rPr>
        <sz val="10"/>
        <rFont val="Aptos"/>
        <family val="2"/>
      </rPr>
      <t>O</t>
    </r>
    <r>
      <rPr>
        <vertAlign val="subscript"/>
        <sz val="10"/>
        <rFont val="Aptos"/>
        <family val="2"/>
      </rPr>
      <t>5</t>
    </r>
    <r>
      <rPr>
        <sz val="10"/>
        <rFont val="Aptos"/>
        <family val="2"/>
      </rPr>
      <t xml:space="preserve"> applied</t>
    </r>
  </si>
  <si>
    <r>
      <t>$/pound K</t>
    </r>
    <r>
      <rPr>
        <vertAlign val="subscript"/>
        <sz val="10"/>
        <rFont val="Aptos"/>
        <family val="2"/>
      </rPr>
      <t>2</t>
    </r>
    <r>
      <rPr>
        <sz val="10"/>
        <rFont val="Aptos"/>
        <family val="2"/>
      </rPr>
      <t>O applied</t>
    </r>
  </si>
  <si>
    <t>2026 Southeast Missouri Crop Budgets</t>
  </si>
  <si>
    <t>Instructions: Enter prices paid for inputs across all crops on the "Input prices" page. Then navigate to each crop you plan to grow and enter the expected prices and quantities for each line item that you expect for your farm in the grey cells. Select custom hire field activities and field operations performed with owned equipment using the searchable drop down menus below the budget sheet. The sensitivity analysis to the right of the illustrates possible returns to land and management per acre given different yields and prices. The Summary tab compares enterprise budgets to allow the user to analyze what crops best fit their farm in the coming crop year.</t>
  </si>
  <si>
    <t>CC 4x4 ATV</t>
  </si>
  <si>
    <t>CC 4x4 UTV</t>
  </si>
  <si>
    <r>
      <t>Repair estimates are based on coefficients for the following function from the 2006</t>
    </r>
    <r>
      <rPr>
        <u/>
        <sz val="12"/>
        <rFont val="Aptos"/>
        <family val="2"/>
      </rPr>
      <t xml:space="preserve"> ASABE Standards</t>
    </r>
    <r>
      <rPr>
        <sz val="12"/>
        <rFont val="Aptos"/>
        <family val="2"/>
      </rPr>
      <t xml:space="preserve"> by the</t>
    </r>
  </si>
  <si>
    <t>13 x 90</t>
  </si>
  <si>
    <t>per pound</t>
  </si>
  <si>
    <t>Grain auger, 13 x 90 , per hour</t>
  </si>
  <si>
    <t>acre/year</t>
  </si>
  <si>
    <t>Lubrication</t>
  </si>
  <si>
    <t>Acre inch costs</t>
  </si>
  <si>
    <t>Annual operating costs per acre</t>
  </si>
  <si>
    <t>Poly pipe</t>
  </si>
  <si>
    <t>Levee work</t>
  </si>
  <si>
    <t>Labor per irrigation</t>
  </si>
  <si>
    <t>Labor per year</t>
  </si>
  <si>
    <t>Winter Canola Enterprise Budget</t>
  </si>
  <si>
    <t>Pounds</t>
  </si>
  <si>
    <t>Input prices</t>
  </si>
  <si>
    <t>Custom rates adjustment factor</t>
  </si>
  <si>
    <t>Survey year value</t>
  </si>
  <si>
    <t>Pick up and move small square bales locally</t>
  </si>
  <si>
    <t>Aerially apply seed or fertilizer</t>
  </si>
  <si>
    <t>Cost per</t>
  </si>
  <si>
    <t>irrigation/acre</t>
  </si>
  <si>
    <t>Misc. operating costs</t>
  </si>
  <si>
    <t>Machinery and irrigation ownership</t>
  </si>
  <si>
    <t>Updated: 11/2025</t>
  </si>
  <si>
    <t>Peanut Enterprise Budget</t>
  </si>
  <si>
    <t>600 HP Combine</t>
  </si>
  <si>
    <t>For more information, refer to these MU Extension publications:</t>
  </si>
  <si>
    <t>G658, Southeast Missouri Corn Planning Budget</t>
  </si>
  <si>
    <t>G659, Southeast Missouri Soybean Planning Budget</t>
  </si>
  <si>
    <t>G657, Southeast Missouri Winter Wheat Planning Budget</t>
  </si>
  <si>
    <t>G660, Southeast Missouri Double-Crop Soybean Planning Budget</t>
  </si>
  <si>
    <t>G674, Southeast Missouri Winter Canola Planning Budget</t>
  </si>
  <si>
    <t>G696, Southeast Missouri Rice Planning Budget</t>
  </si>
  <si>
    <t>G698, Southeast Missouri Cotton Planning Budget</t>
  </si>
  <si>
    <t>G699, Southeast Missouri Peanut Planning Budget</t>
  </si>
  <si>
    <t>Drew Kientzy, Ben Brown, Randy Stephens, Richard Turner, Chase Floyd, and Bradley Wilson</t>
  </si>
  <si>
    <t>G697, Southeast Missouri Double-Crop Grain Sorghum Planning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</si>
</sst>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quot;$&quot;#,##0.00"/>
    <numFmt numFmtId="165" formatCode="0.0"/>
    <numFmt numFmtId="166" formatCode="0.0%"/>
    <numFmt numFmtId="167" formatCode="_(* #,##0_);_(* \(#,##0\);_(* &quot;-&quot;??_);_(@_)"/>
    <numFmt numFmtId="168" formatCode="#,##0.000"/>
    <numFmt numFmtId="169" formatCode="#,##0.0_);\(#,##0.0\)"/>
    <numFmt numFmtId="170" formatCode="_(* #,##0.000_);_(* \(#,##0.000\);_(* &quot;-&quot;??_);_(@_)"/>
    <numFmt numFmtId="171" formatCode="_(* #,##0.0_);_(* \(#,##0.0\);_(* &quot;-&quot;??_);_(@_)"/>
    <numFmt numFmtId="172" formatCode="0.000"/>
  </numFmts>
  <fonts count="52">
    <font>
      <sz val="11"/>
      <color theme="1"/>
      <name val="Segoe UI"/>
      <family val="2"/>
      <scheme val="minor"/>
    </font>
    <font>
      <sz val="10"/>
      <name val="TimesNewRomanPS"/>
    </font>
    <font>
      <sz val="11"/>
      <color theme="1"/>
      <name val="Segoe UI"/>
      <family val="2"/>
      <scheme val="minor"/>
    </font>
    <font>
      <b/>
      <sz val="11"/>
      <color theme="1"/>
      <name val="Segoe UI"/>
      <family val="2"/>
      <scheme val="minor"/>
    </font>
    <font>
      <b/>
      <sz val="11"/>
      <color rgb="FF3F3F3F"/>
      <name val="Segoe UI"/>
      <family val="2"/>
      <scheme val="minor"/>
    </font>
    <font>
      <b/>
      <sz val="14"/>
      <color rgb="FFF1B82D"/>
      <name val="Garamond"/>
      <family val="1"/>
    </font>
    <font>
      <sz val="11"/>
      <color theme="1"/>
      <name val="Garamond"/>
      <family val="1"/>
    </font>
    <font>
      <sz val="12"/>
      <color theme="1"/>
      <name val="Segoe UI"/>
      <family val="2"/>
      <scheme val="minor"/>
    </font>
    <font>
      <sz val="12"/>
      <name val="Segoe UI"/>
      <family val="2"/>
      <scheme val="minor"/>
    </font>
    <font>
      <b/>
      <sz val="12"/>
      <color rgb="FF3F3F3F"/>
      <name val="Segoe UI"/>
      <family val="2"/>
      <scheme val="minor"/>
    </font>
    <font>
      <sz val="11"/>
      <color theme="0"/>
      <name val="Segoe UI"/>
      <family val="2"/>
      <scheme val="minor"/>
    </font>
    <font>
      <sz val="11"/>
      <name val="Segoe UI"/>
      <family val="2"/>
      <scheme val="minor"/>
    </font>
    <font>
      <i/>
      <sz val="11"/>
      <name val="Segoe UI"/>
      <family val="2"/>
      <scheme val="minor"/>
    </font>
    <font>
      <b/>
      <sz val="12"/>
      <name val="Segoe UI"/>
      <family val="2"/>
      <scheme val="minor"/>
    </font>
    <font>
      <b/>
      <sz val="14"/>
      <color rgb="FFF1B82D"/>
      <name val="Segoe UI Black"/>
      <family val="2"/>
      <scheme val="major"/>
    </font>
    <font>
      <sz val="10"/>
      <name val="Segoe UI"/>
      <family val="2"/>
      <scheme val="minor"/>
    </font>
    <font>
      <sz val="14"/>
      <color rgb="FFF1B82D"/>
      <name val="Segoe UI Black"/>
      <family val="2"/>
      <scheme val="major"/>
    </font>
    <font>
      <u/>
      <sz val="11"/>
      <color theme="10"/>
      <name val="Segoe UI"/>
      <family val="2"/>
      <scheme val="minor"/>
    </font>
    <font>
      <b/>
      <sz val="14"/>
      <color rgb="FFF1B82D"/>
      <name val="Aptos Black"/>
      <family val="2"/>
    </font>
    <font>
      <sz val="12"/>
      <name val="Aptos"/>
      <family val="2"/>
    </font>
    <font>
      <sz val="11"/>
      <name val="Aptos"/>
      <family val="2"/>
    </font>
    <font>
      <i/>
      <sz val="12"/>
      <name val="Segoe UI"/>
      <family val="2"/>
      <scheme val="minor"/>
    </font>
    <font>
      <sz val="10"/>
      <name val="Aptos"/>
      <family val="2"/>
    </font>
    <font>
      <i/>
      <sz val="11"/>
      <name val="Aptos"/>
      <family val="2"/>
    </font>
    <font>
      <b/>
      <sz val="11"/>
      <name val="Aptos"/>
      <family val="2"/>
    </font>
    <font>
      <b/>
      <sz val="12"/>
      <name val="Aptos"/>
      <family val="2"/>
    </font>
    <font>
      <sz val="11"/>
      <color theme="0"/>
      <name val="Aptos"/>
      <family val="2"/>
    </font>
    <font>
      <sz val="12"/>
      <color theme="0"/>
      <name val="Aptos"/>
      <family val="2"/>
    </font>
    <font>
      <b/>
      <sz val="12"/>
      <color theme="1"/>
      <name val="Aptos"/>
      <family val="2"/>
    </font>
    <font>
      <b/>
      <sz val="10"/>
      <color theme="1"/>
      <name val="Aptos"/>
      <family val="2"/>
    </font>
    <font>
      <b/>
      <sz val="10"/>
      <name val="Aptos"/>
      <family val="2"/>
    </font>
    <font>
      <sz val="10"/>
      <color theme="1"/>
      <name val="Aptos"/>
      <family val="2"/>
    </font>
    <font>
      <sz val="11"/>
      <color theme="1"/>
      <name val="Aptos"/>
      <family val="2"/>
    </font>
    <font>
      <i/>
      <sz val="8"/>
      <color theme="1"/>
      <name val="Aptos"/>
      <family val="2"/>
    </font>
    <font>
      <vertAlign val="superscript"/>
      <sz val="10"/>
      <name val="Aptos"/>
      <family val="2"/>
    </font>
    <font>
      <sz val="12"/>
      <color theme="1"/>
      <name val="Aptos"/>
      <family val="2"/>
    </font>
    <font>
      <sz val="12"/>
      <color indexed="8"/>
      <name val="Aptos"/>
      <family val="2"/>
    </font>
    <font>
      <b/>
      <sz val="12"/>
      <color rgb="FFF1B82D"/>
      <name val="Aptos"/>
      <family val="2"/>
    </font>
    <font>
      <sz val="12"/>
      <color rgb="FFFFC000"/>
      <name val="Aptos"/>
      <family val="2"/>
    </font>
    <font>
      <sz val="12"/>
      <color rgb="FFF1B82D"/>
      <name val="Aptos"/>
      <family val="2"/>
    </font>
    <font>
      <vertAlign val="superscript"/>
      <sz val="12"/>
      <color rgb="FFF1B82D"/>
      <name val="Aptos"/>
      <family val="2"/>
    </font>
    <font>
      <sz val="12"/>
      <color indexed="12"/>
      <name val="Aptos"/>
      <family val="2"/>
    </font>
    <font>
      <i/>
      <sz val="12"/>
      <color theme="1"/>
      <name val="Aptos"/>
      <family val="2"/>
    </font>
    <font>
      <u/>
      <sz val="12"/>
      <color theme="10"/>
      <name val="Aptos"/>
      <family val="2"/>
    </font>
    <font>
      <vertAlign val="subscript"/>
      <sz val="10"/>
      <name val="Aptos"/>
      <family val="2"/>
    </font>
    <font>
      <u/>
      <sz val="12"/>
      <name val="Aptos"/>
      <family val="2"/>
    </font>
    <font>
      <sz val="9"/>
      <color indexed="81"/>
      <name val="Tahoma"/>
      <family val="2"/>
    </font>
    <font>
      <b/>
      <sz val="12"/>
      <color rgb="FFFFC000"/>
      <name val="Aptos"/>
      <family val="2"/>
    </font>
    <font>
      <b/>
      <sz val="14"/>
      <color rgb="FFFFC000"/>
      <name val="Aptos Black"/>
      <family val="2"/>
    </font>
    <font>
      <b/>
      <sz val="9"/>
      <color indexed="81"/>
      <name val="Tahoma"/>
      <family val="2"/>
    </font>
    <font>
      <b/>
      <u/>
      <sz val="12"/>
      <name val="Aptos"/>
      <family val="2"/>
    </font>
    <font>
      <b/>
      <sz val="11"/>
      <color rgb="FFF1B82D"/>
      <name val="Aptos"/>
      <family val="2"/>
    </font>
  </fonts>
  <fills count="9">
    <fill>
      <patternFill patternType="none"/>
    </fill>
    <fill>
      <patternFill patternType="gray125"/>
    </fill>
    <fill>
      <patternFill patternType="solid">
        <fgColor theme="2"/>
        <bgColor indexed="64"/>
      </patternFill>
    </fill>
    <fill>
      <patternFill patternType="solid">
        <fgColor rgb="FFF2F2F2"/>
      </patternFill>
    </fill>
    <fill>
      <patternFill patternType="solid">
        <fgColor theme="1"/>
        <bgColor indexed="64"/>
      </patternFill>
    </fill>
    <fill>
      <patternFill patternType="solid">
        <fgColor rgb="FFE7E6E6"/>
        <bgColor indexed="64"/>
      </patternFill>
    </fill>
    <fill>
      <patternFill patternType="solid">
        <fgColor theme="0"/>
        <bgColor indexed="64"/>
      </patternFill>
    </fill>
    <fill>
      <patternFill patternType="solid">
        <fgColor theme="4" tint="0.79998168889431442"/>
        <bgColor indexed="64"/>
      </patternFill>
    </fill>
    <fill>
      <patternFill patternType="solid">
        <fgColor theme="1"/>
        <bgColor theme="1"/>
      </patternFill>
    </fill>
  </fills>
  <borders count="30">
    <border>
      <left/>
      <right/>
      <top/>
      <bottom/>
      <diagonal/>
    </border>
    <border>
      <left/>
      <right/>
      <top/>
      <bottom style="thin">
        <color indexed="64"/>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style="thin">
        <color theme="4" tint="0.39997558519241921"/>
      </top>
      <bottom style="thin">
        <color theme="4" tint="0.39997558519241921"/>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theme="1"/>
      </left>
      <right/>
      <top style="thin">
        <color theme="1"/>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theme="1"/>
      </top>
      <bottom/>
      <diagonal/>
    </border>
  </borders>
  <cellStyleXfs count="8">
    <xf numFmtId="0" fontId="0" fillId="0" borderId="0"/>
    <xf numFmtId="0" fontId="1" fillId="0" borderId="0"/>
    <xf numFmtId="43" fontId="2" fillId="0" borderId="0" applyFont="0" applyFill="0" applyBorder="0" applyAlignment="0" applyProtection="0"/>
    <xf numFmtId="9" fontId="2" fillId="0" borderId="0" applyFont="0" applyFill="0" applyBorder="0" applyAlignment="0" applyProtection="0"/>
    <xf numFmtId="0" fontId="4" fillId="3" borderId="2" applyNumberFormat="0" applyAlignment="0" applyProtection="0"/>
    <xf numFmtId="44" fontId="2" fillId="0" borderId="0" applyFont="0" applyFill="0" applyBorder="0" applyAlignment="0" applyProtection="0"/>
    <xf numFmtId="0" fontId="2" fillId="0" borderId="0"/>
    <xf numFmtId="0" fontId="17" fillId="0" borderId="0" applyNumberFormat="0" applyFill="0" applyBorder="0" applyAlignment="0" applyProtection="0"/>
  </cellStyleXfs>
  <cellXfs count="313">
    <xf numFmtId="0" fontId="0" fillId="0" borderId="0" xfId="0"/>
    <xf numFmtId="0" fontId="3" fillId="0" borderId="0" xfId="0" applyFont="1"/>
    <xf numFmtId="0" fontId="9" fillId="3" borderId="2" xfId="4" applyFont="1"/>
    <xf numFmtId="0" fontId="11" fillId="0" borderId="0" xfId="1" applyFont="1"/>
    <xf numFmtId="2" fontId="11" fillId="0" borderId="0" xfId="1" applyNumberFormat="1" applyFont="1" applyAlignment="1">
      <alignment horizontal="left"/>
    </xf>
    <xf numFmtId="0" fontId="7" fillId="0" borderId="0" xfId="0" applyFont="1"/>
    <xf numFmtId="0" fontId="8" fillId="0" borderId="0" xfId="1" applyFont="1"/>
    <xf numFmtId="0" fontId="15" fillId="0" borderId="0" xfId="1" applyFont="1"/>
    <xf numFmtId="8" fontId="7" fillId="0" borderId="0" xfId="0" applyNumberFormat="1" applyFont="1"/>
    <xf numFmtId="0" fontId="0" fillId="0" borderId="0" xfId="0" applyAlignment="1">
      <alignment horizontal="left" indent="1"/>
    </xf>
    <xf numFmtId="4" fontId="0" fillId="0" borderId="6" xfId="0" applyNumberFormat="1" applyBorder="1"/>
    <xf numFmtId="4" fontId="0" fillId="0" borderId="0" xfId="0" applyNumberFormat="1"/>
    <xf numFmtId="4" fontId="0" fillId="0" borderId="7" xfId="0" applyNumberFormat="1" applyBorder="1"/>
    <xf numFmtId="9" fontId="0" fillId="0" borderId="10" xfId="3" applyFont="1" applyBorder="1"/>
    <xf numFmtId="9" fontId="0" fillId="0" borderId="11" xfId="3" applyFont="1" applyBorder="1"/>
    <xf numFmtId="9" fontId="0" fillId="0" borderId="12" xfId="3" applyFont="1" applyBorder="1"/>
    <xf numFmtId="0" fontId="3" fillId="0" borderId="6" xfId="0" applyFont="1" applyBorder="1"/>
    <xf numFmtId="0" fontId="3" fillId="0" borderId="10" xfId="0" applyFont="1" applyBorder="1"/>
    <xf numFmtId="0" fontId="3" fillId="0" borderId="9" xfId="0" applyFont="1" applyBorder="1"/>
    <xf numFmtId="4" fontId="0" fillId="0" borderId="19" xfId="0" applyNumberFormat="1" applyBorder="1"/>
    <xf numFmtId="4" fontId="0" fillId="0" borderId="20" xfId="0" applyNumberFormat="1" applyBorder="1"/>
    <xf numFmtId="4" fontId="0" fillId="0" borderId="21" xfId="0" applyNumberFormat="1" applyBorder="1"/>
    <xf numFmtId="4" fontId="0" fillId="0" borderId="9" xfId="0" applyNumberFormat="1" applyBorder="1"/>
    <xf numFmtId="4" fontId="0" fillId="0" borderId="1" xfId="0" applyNumberFormat="1" applyBorder="1"/>
    <xf numFmtId="4" fontId="0" fillId="0" borderId="8" xfId="0" applyNumberFormat="1" applyBorder="1"/>
    <xf numFmtId="0" fontId="3" fillId="0" borderId="0" xfId="0" applyFont="1" applyAlignment="1">
      <alignment horizontal="right"/>
    </xf>
    <xf numFmtId="0" fontId="3" fillId="0" borderId="7" xfId="0" applyFont="1" applyBorder="1" applyAlignment="1">
      <alignment horizontal="right"/>
    </xf>
    <xf numFmtId="0" fontId="0" fillId="6" borderId="0" xfId="0" applyFill="1"/>
    <xf numFmtId="0" fontId="3" fillId="6" borderId="0" xfId="0" applyFont="1" applyFill="1"/>
    <xf numFmtId="0" fontId="3" fillId="6" borderId="0" xfId="0" applyFont="1" applyFill="1" applyAlignment="1">
      <alignment horizontal="left" indent="4"/>
    </xf>
    <xf numFmtId="0" fontId="6" fillId="6" borderId="0" xfId="0" applyFont="1" applyFill="1"/>
    <xf numFmtId="0" fontId="15" fillId="6" borderId="0" xfId="0" applyFont="1" applyFill="1" applyAlignment="1">
      <alignment horizontal="left" vertical="center" wrapText="1"/>
    </xf>
    <xf numFmtId="0" fontId="11" fillId="0" borderId="0" xfId="1" applyFont="1" applyProtection="1">
      <protection locked="0"/>
    </xf>
    <xf numFmtId="0" fontId="19" fillId="0" borderId="0" xfId="1" applyFont="1" applyAlignment="1">
      <alignment horizontal="left"/>
    </xf>
    <xf numFmtId="2" fontId="19" fillId="0" borderId="0" xfId="1" applyNumberFormat="1" applyFont="1" applyAlignment="1">
      <alignment horizontal="right"/>
    </xf>
    <xf numFmtId="0" fontId="19" fillId="0" borderId="0" xfId="1" applyFont="1"/>
    <xf numFmtId="2" fontId="19" fillId="0" borderId="0" xfId="1" applyNumberFormat="1" applyFont="1" applyAlignment="1">
      <alignment horizontal="left"/>
    </xf>
    <xf numFmtId="2" fontId="20" fillId="0" borderId="0" xfId="1" applyNumberFormat="1" applyFont="1" applyAlignment="1">
      <alignment horizontal="left"/>
    </xf>
    <xf numFmtId="0" fontId="11" fillId="6" borderId="0" xfId="1" applyFont="1" applyFill="1"/>
    <xf numFmtId="0" fontId="13" fillId="6" borderId="0" xfId="1" applyFont="1" applyFill="1"/>
    <xf numFmtId="0" fontId="13" fillId="6" borderId="18" xfId="1" applyFont="1" applyFill="1" applyBorder="1" applyAlignment="1">
      <alignment horizontal="left"/>
    </xf>
    <xf numFmtId="2" fontId="13" fillId="6" borderId="18" xfId="1" applyNumberFormat="1" applyFont="1" applyFill="1" applyBorder="1" applyAlignment="1">
      <alignment horizontal="right"/>
    </xf>
    <xf numFmtId="0" fontId="8" fillId="6" borderId="0" xfId="1" applyFont="1" applyFill="1"/>
    <xf numFmtId="0" fontId="19" fillId="0" borderId="0" xfId="1" applyFont="1" applyAlignment="1">
      <alignment horizontal="left" indent="1"/>
    </xf>
    <xf numFmtId="1" fontId="19" fillId="2" borderId="0" xfId="1" applyNumberFormat="1" applyFont="1" applyFill="1" applyAlignment="1">
      <alignment horizontal="right"/>
    </xf>
    <xf numFmtId="2" fontId="19" fillId="2" borderId="0" xfId="1" applyNumberFormat="1" applyFont="1" applyFill="1" applyAlignment="1">
      <alignment horizontal="right"/>
    </xf>
    <xf numFmtId="164" fontId="19" fillId="0" borderId="0" xfId="1" applyNumberFormat="1" applyFont="1" applyAlignment="1">
      <alignment horizontal="right"/>
    </xf>
    <xf numFmtId="9" fontId="23" fillId="0" borderId="0" xfId="1" applyNumberFormat="1" applyFont="1" applyAlignment="1">
      <alignment horizontal="right"/>
    </xf>
    <xf numFmtId="9" fontId="8" fillId="6" borderId="24" xfId="3" applyFont="1" applyFill="1" applyBorder="1" applyProtection="1"/>
    <xf numFmtId="171" fontId="8" fillId="6" borderId="18" xfId="2" applyNumberFormat="1" applyFont="1" applyFill="1" applyBorder="1" applyProtection="1"/>
    <xf numFmtId="171" fontId="8" fillId="0" borderId="18" xfId="2" applyNumberFormat="1" applyFont="1" applyBorder="1" applyProtection="1"/>
    <xf numFmtId="171" fontId="8" fillId="6" borderId="26" xfId="2" applyNumberFormat="1" applyFont="1" applyFill="1" applyBorder="1" applyProtection="1"/>
    <xf numFmtId="0" fontId="22" fillId="2" borderId="0" xfId="1" applyFont="1" applyFill="1" applyAlignment="1" applyProtection="1">
      <alignment horizontal="right"/>
      <protection locked="0"/>
    </xf>
    <xf numFmtId="0" fontId="19" fillId="2" borderId="0" xfId="1" applyFont="1" applyFill="1" applyAlignment="1" applyProtection="1">
      <alignment horizontal="right"/>
      <protection locked="0"/>
    </xf>
    <xf numFmtId="2" fontId="24" fillId="0" borderId="0" xfId="1" applyNumberFormat="1" applyFont="1" applyAlignment="1">
      <alignment horizontal="right"/>
    </xf>
    <xf numFmtId="7" fontId="8" fillId="6" borderId="27" xfId="2" applyNumberFormat="1" applyFont="1" applyFill="1" applyBorder="1" applyProtection="1"/>
    <xf numFmtId="6" fontId="8" fillId="6" borderId="28" xfId="5" applyNumberFormat="1" applyFont="1" applyFill="1" applyBorder="1" applyProtection="1"/>
    <xf numFmtId="2" fontId="19" fillId="0" borderId="0" xfId="1" applyNumberFormat="1" applyFont="1" applyAlignment="1">
      <alignment horizontal="left" indent="1"/>
    </xf>
    <xf numFmtId="164" fontId="19" fillId="2" borderId="0" xfId="1" applyNumberFormat="1" applyFont="1" applyFill="1" applyAlignment="1" applyProtection="1">
      <alignment horizontal="right"/>
      <protection locked="0"/>
    </xf>
    <xf numFmtId="164" fontId="19" fillId="2" borderId="1" xfId="1" applyNumberFormat="1" applyFont="1" applyFill="1" applyBorder="1" applyAlignment="1" applyProtection="1">
      <alignment horizontal="right"/>
      <protection locked="0"/>
    </xf>
    <xf numFmtId="2" fontId="25" fillId="0" borderId="0" xfId="1" applyNumberFormat="1" applyFont="1" applyAlignment="1">
      <alignment horizontal="right" indent="2"/>
    </xf>
    <xf numFmtId="2" fontId="19" fillId="0" borderId="0" xfId="1" applyNumberFormat="1" applyFont="1"/>
    <xf numFmtId="164" fontId="25" fillId="0" borderId="0" xfId="1" applyNumberFormat="1" applyFont="1" applyAlignment="1">
      <alignment horizontal="right"/>
    </xf>
    <xf numFmtId="2" fontId="20" fillId="0" borderId="0" xfId="1" applyNumberFormat="1" applyFont="1" applyAlignment="1">
      <alignment horizontal="right"/>
    </xf>
    <xf numFmtId="7" fontId="8" fillId="0" borderId="27" xfId="2" applyNumberFormat="1" applyFont="1" applyBorder="1" applyProtection="1"/>
    <xf numFmtId="6" fontId="8" fillId="7" borderId="28" xfId="5" applyNumberFormat="1" applyFont="1" applyFill="1" applyBorder="1" applyProtection="1"/>
    <xf numFmtId="4" fontId="25" fillId="0" borderId="0" xfId="1" applyNumberFormat="1" applyFont="1" applyAlignment="1">
      <alignment horizontal="right"/>
    </xf>
    <xf numFmtId="2" fontId="13" fillId="6" borderId="18" xfId="1" applyNumberFormat="1" applyFont="1" applyFill="1" applyBorder="1" applyAlignment="1">
      <alignment horizontal="left"/>
    </xf>
    <xf numFmtId="3" fontId="19" fillId="2" borderId="0" xfId="1" applyNumberFormat="1" applyFont="1" applyFill="1"/>
    <xf numFmtId="164" fontId="19" fillId="2" borderId="0" xfId="1" applyNumberFormat="1" applyFont="1" applyFill="1"/>
    <xf numFmtId="7" fontId="8" fillId="6" borderId="23" xfId="2" applyNumberFormat="1" applyFont="1" applyFill="1" applyBorder="1" applyProtection="1"/>
    <xf numFmtId="164" fontId="19" fillId="0" borderId="0" xfId="1" applyNumberFormat="1" applyFont="1"/>
    <xf numFmtId="0" fontId="20" fillId="0" borderId="0" xfId="1" applyFont="1"/>
    <xf numFmtId="2" fontId="19" fillId="0" borderId="0" xfId="1" applyNumberFormat="1" applyFont="1" applyAlignment="1">
      <alignment horizontal="left" indent="2"/>
    </xf>
    <xf numFmtId="0" fontId="26" fillId="0" borderId="0" xfId="1" applyFont="1"/>
    <xf numFmtId="0" fontId="12" fillId="0" borderId="0" xfId="0" applyFont="1"/>
    <xf numFmtId="0" fontId="0" fillId="0" borderId="0" xfId="0" applyAlignment="1">
      <alignment horizontal="right"/>
    </xf>
    <xf numFmtId="164" fontId="19" fillId="2" borderId="0" xfId="1" applyNumberFormat="1" applyFont="1" applyFill="1" applyAlignment="1">
      <alignment horizontal="right"/>
    </xf>
    <xf numFmtId="164" fontId="19" fillId="0" borderId="0" xfId="1" applyNumberFormat="1" applyFont="1" applyAlignment="1">
      <alignment horizontal="left"/>
    </xf>
    <xf numFmtId="43" fontId="0" fillId="0" borderId="0" xfId="2" applyFont="1" applyBorder="1" applyAlignment="1">
      <alignment horizontal="right"/>
    </xf>
    <xf numFmtId="9" fontId="0" fillId="0" borderId="0" xfId="3" applyFont="1" applyBorder="1" applyAlignment="1">
      <alignment horizontal="right"/>
    </xf>
    <xf numFmtId="9" fontId="19" fillId="2" borderId="0" xfId="3" applyFont="1" applyFill="1" applyBorder="1" applyAlignment="1">
      <alignment horizontal="right"/>
    </xf>
    <xf numFmtId="167" fontId="0" fillId="0" borderId="0" xfId="2" applyNumberFormat="1" applyFont="1" applyBorder="1" applyAlignment="1">
      <alignment horizontal="right"/>
    </xf>
    <xf numFmtId="164" fontId="19" fillId="0" borderId="0" xfId="1" applyNumberFormat="1" applyFont="1" applyAlignment="1" applyProtection="1">
      <alignment horizontal="right"/>
      <protection locked="0"/>
    </xf>
    <xf numFmtId="2" fontId="22" fillId="0" borderId="0" xfId="1" applyNumberFormat="1" applyFont="1" applyAlignment="1">
      <alignment horizontal="left"/>
    </xf>
    <xf numFmtId="2" fontId="27" fillId="0" borderId="0" xfId="1" applyNumberFormat="1" applyFont="1"/>
    <xf numFmtId="2" fontId="0" fillId="0" borderId="0" xfId="0" applyNumberFormat="1" applyAlignment="1">
      <alignment horizontal="right"/>
    </xf>
    <xf numFmtId="43" fontId="0" fillId="0" borderId="0" xfId="0" applyNumberFormat="1" applyAlignment="1">
      <alignment horizontal="right"/>
    </xf>
    <xf numFmtId="40" fontId="19" fillId="0" borderId="0" xfId="1" applyNumberFormat="1" applyFont="1"/>
    <xf numFmtId="10" fontId="19" fillId="0" borderId="0" xfId="1" applyNumberFormat="1" applyFont="1" applyAlignment="1">
      <alignment horizontal="right"/>
    </xf>
    <xf numFmtId="164" fontId="19" fillId="0" borderId="1" xfId="1" applyNumberFormat="1" applyFont="1" applyBorder="1" applyAlignment="1">
      <alignment horizontal="right"/>
    </xf>
    <xf numFmtId="164" fontId="24" fillId="0" borderId="0" xfId="1" applyNumberFormat="1" applyFont="1" applyAlignment="1">
      <alignment horizontal="right"/>
    </xf>
    <xf numFmtId="2" fontId="22" fillId="0" borderId="0" xfId="1" applyNumberFormat="1" applyFont="1" applyAlignment="1">
      <alignment horizontal="right"/>
    </xf>
    <xf numFmtId="164" fontId="19" fillId="2" borderId="1" xfId="1" applyNumberFormat="1" applyFont="1" applyFill="1" applyBorder="1" applyAlignment="1">
      <alignment horizontal="right"/>
    </xf>
    <xf numFmtId="2" fontId="19" fillId="0" borderId="13" xfId="1" applyNumberFormat="1" applyFont="1" applyBorder="1" applyAlignment="1">
      <alignment horizontal="left"/>
    </xf>
    <xf numFmtId="2" fontId="19" fillId="0" borderId="13" xfId="1" applyNumberFormat="1" applyFont="1" applyBorder="1" applyAlignment="1">
      <alignment horizontal="right"/>
    </xf>
    <xf numFmtId="2" fontId="19" fillId="0" borderId="13" xfId="1" applyNumberFormat="1" applyFont="1" applyBorder="1"/>
    <xf numFmtId="164" fontId="19" fillId="0" borderId="13" xfId="1" applyNumberFormat="1" applyFont="1" applyBorder="1" applyAlignment="1">
      <alignment horizontal="right"/>
    </xf>
    <xf numFmtId="2" fontId="25" fillId="0" borderId="0" xfId="1" applyNumberFormat="1" applyFont="1" applyAlignment="1">
      <alignment horizontal="left"/>
    </xf>
    <xf numFmtId="2" fontId="25" fillId="0" borderId="1" xfId="1" applyNumberFormat="1" applyFont="1" applyBorder="1" applyAlignment="1">
      <alignment horizontal="left"/>
    </xf>
    <xf numFmtId="2" fontId="19" fillId="0" borderId="1" xfId="1" applyNumberFormat="1" applyFont="1" applyBorder="1" applyAlignment="1">
      <alignment horizontal="right"/>
    </xf>
    <xf numFmtId="2" fontId="19" fillId="0" borderId="1" xfId="1" applyNumberFormat="1" applyFont="1" applyBorder="1"/>
    <xf numFmtId="164" fontId="25" fillId="0" borderId="1" xfId="1" applyNumberFormat="1" applyFont="1" applyBorder="1" applyAlignment="1">
      <alignment horizontal="right"/>
    </xf>
    <xf numFmtId="2" fontId="19" fillId="0" borderId="1" xfId="1" applyNumberFormat="1" applyFont="1" applyBorder="1" applyAlignment="1">
      <alignment horizontal="left"/>
    </xf>
    <xf numFmtId="2" fontId="20" fillId="0" borderId="0" xfId="1" applyNumberFormat="1" applyFont="1"/>
    <xf numFmtId="0" fontId="28" fillId="0" borderId="1" xfId="0" applyFont="1" applyBorder="1" applyAlignment="1">
      <alignment horizontal="left"/>
    </xf>
    <xf numFmtId="0" fontId="22" fillId="0" borderId="1" xfId="1" applyFont="1" applyBorder="1"/>
    <xf numFmtId="0" fontId="29" fillId="0" borderId="18" xfId="0" applyFont="1" applyBorder="1"/>
    <xf numFmtId="0" fontId="29" fillId="0" borderId="18" xfId="0" applyFont="1" applyBorder="1" applyAlignment="1">
      <alignment horizontal="center"/>
    </xf>
    <xf numFmtId="0" fontId="30" fillId="0" borderId="1" xfId="1" applyFont="1" applyBorder="1"/>
    <xf numFmtId="0" fontId="31" fillId="2" borderId="0" xfId="0" applyFont="1" applyFill="1"/>
    <xf numFmtId="39" fontId="31" fillId="0" borderId="0" xfId="5" applyNumberFormat="1" applyFont="1"/>
    <xf numFmtId="39" fontId="31" fillId="2" borderId="0" xfId="5" applyNumberFormat="1" applyFont="1" applyFill="1"/>
    <xf numFmtId="39" fontId="22" fillId="0" borderId="0" xfId="1" applyNumberFormat="1" applyFont="1"/>
    <xf numFmtId="43" fontId="31" fillId="2" borderId="0" xfId="2" applyFont="1" applyFill="1"/>
    <xf numFmtId="43" fontId="31" fillId="2" borderId="1" xfId="2" applyFont="1" applyFill="1" applyBorder="1"/>
    <xf numFmtId="43" fontId="31" fillId="0" borderId="1" xfId="2" applyFont="1" applyBorder="1"/>
    <xf numFmtId="39" fontId="31" fillId="0" borderId="1" xfId="5" applyNumberFormat="1" applyFont="1" applyBorder="1"/>
    <xf numFmtId="39" fontId="22" fillId="0" borderId="1" xfId="1" applyNumberFormat="1" applyFont="1" applyBorder="1"/>
    <xf numFmtId="0" fontId="30" fillId="0" borderId="0" xfId="1" applyFont="1" applyAlignment="1">
      <alignment horizontal="right"/>
    </xf>
    <xf numFmtId="0" fontId="30" fillId="0" borderId="0" xfId="1" applyFont="1"/>
    <xf numFmtId="39" fontId="30" fillId="0" borderId="0" xfId="1" applyNumberFormat="1" applyFont="1"/>
    <xf numFmtId="0" fontId="29" fillId="0" borderId="13" xfId="0" applyFont="1" applyBorder="1" applyAlignment="1">
      <alignment horizontal="center"/>
    </xf>
    <xf numFmtId="0" fontId="29" fillId="0" borderId="13" xfId="0" applyFont="1" applyBorder="1" applyAlignment="1">
      <alignment horizontal="right"/>
    </xf>
    <xf numFmtId="0" fontId="29" fillId="0" borderId="1" xfId="0" applyFont="1" applyBorder="1" applyAlignment="1">
      <alignment horizontal="center"/>
    </xf>
    <xf numFmtId="0" fontId="29" fillId="0" borderId="1" xfId="0" applyFont="1" applyBorder="1" applyAlignment="1">
      <alignment horizontal="right"/>
    </xf>
    <xf numFmtId="0" fontId="32" fillId="0" borderId="0" xfId="0" applyFont="1"/>
    <xf numFmtId="0" fontId="29" fillId="0" borderId="0" xfId="0" applyFont="1" applyAlignment="1">
      <alignment horizontal="center"/>
    </xf>
    <xf numFmtId="0" fontId="33" fillId="0" borderId="0" xfId="0" applyFont="1" applyAlignment="1">
      <alignment horizontal="right"/>
    </xf>
    <xf numFmtId="0" fontId="31" fillId="2" borderId="0" xfId="0" applyFont="1" applyFill="1" applyProtection="1">
      <protection locked="0"/>
    </xf>
    <xf numFmtId="4" fontId="31" fillId="2" borderId="0" xfId="0" applyNumberFormat="1" applyFont="1" applyFill="1" applyProtection="1">
      <protection locked="0"/>
    </xf>
    <xf numFmtId="4" fontId="31" fillId="0" borderId="0" xfId="0" applyNumberFormat="1" applyFont="1"/>
    <xf numFmtId="164" fontId="31" fillId="0" borderId="0" xfId="0" applyNumberFormat="1" applyFont="1"/>
    <xf numFmtId="0" fontId="31" fillId="2" borderId="1" xfId="0" applyFont="1" applyFill="1" applyBorder="1" applyProtection="1">
      <protection locked="0"/>
    </xf>
    <xf numFmtId="4" fontId="31" fillId="2" borderId="1" xfId="0" applyNumberFormat="1" applyFont="1" applyFill="1" applyBorder="1" applyProtection="1">
      <protection locked="0"/>
    </xf>
    <xf numFmtId="4" fontId="31" fillId="0" borderId="1" xfId="0" applyNumberFormat="1" applyFont="1" applyBorder="1"/>
    <xf numFmtId="164" fontId="31" fillId="0" borderId="1" xfId="0" applyNumberFormat="1" applyFont="1" applyBorder="1"/>
    <xf numFmtId="0" fontId="29" fillId="0" borderId="0" xfId="0" applyFont="1" applyAlignment="1">
      <alignment horizontal="right" wrapText="1"/>
    </xf>
    <xf numFmtId="1" fontId="29" fillId="0" borderId="0" xfId="0" applyNumberFormat="1" applyFont="1" applyAlignment="1">
      <alignment wrapText="1"/>
    </xf>
    <xf numFmtId="2" fontId="29" fillId="0" borderId="0" xfId="0" applyNumberFormat="1" applyFont="1" applyAlignment="1">
      <alignment wrapText="1"/>
    </xf>
    <xf numFmtId="164" fontId="29" fillId="0" borderId="0" xfId="0" applyNumberFormat="1" applyFont="1" applyAlignment="1">
      <alignment wrapText="1"/>
    </xf>
    <xf numFmtId="0" fontId="22" fillId="0" borderId="0" xfId="1" applyFont="1"/>
    <xf numFmtId="2" fontId="26" fillId="0" borderId="0" xfId="1" applyNumberFormat="1" applyFont="1"/>
    <xf numFmtId="0" fontId="19" fillId="2" borderId="0" xfId="1" applyFont="1" applyFill="1"/>
    <xf numFmtId="0" fontId="35" fillId="0" borderId="0" xfId="0" applyFont="1"/>
    <xf numFmtId="0" fontId="35" fillId="2" borderId="0" xfId="0" applyFont="1" applyFill="1"/>
    <xf numFmtId="0" fontId="28" fillId="0" borderId="0" xfId="0" applyFont="1" applyAlignment="1">
      <alignment horizontal="center"/>
    </xf>
    <xf numFmtId="0" fontId="28" fillId="0" borderId="0" xfId="0" applyFont="1"/>
    <xf numFmtId="0" fontId="25" fillId="0" borderId="0" xfId="0" applyFont="1"/>
    <xf numFmtId="0" fontId="19" fillId="0" borderId="0" xfId="0" applyFont="1"/>
    <xf numFmtId="0" fontId="36" fillId="0" borderId="0" xfId="0" applyFont="1"/>
    <xf numFmtId="0" fontId="19" fillId="0" borderId="0" xfId="0" applyFont="1" applyAlignment="1">
      <alignment horizontal="center"/>
    </xf>
    <xf numFmtId="0" fontId="19" fillId="0" borderId="0" xfId="0" applyFont="1" applyAlignment="1">
      <alignment horizontal="left"/>
    </xf>
    <xf numFmtId="0" fontId="19" fillId="0" borderId="0" xfId="0" quotePrefix="1" applyFont="1" applyAlignment="1">
      <alignment horizontal="left"/>
    </xf>
    <xf numFmtId="0" fontId="28" fillId="0" borderId="0" xfId="0" applyFont="1" applyAlignment="1">
      <alignment horizontal="center" wrapText="1"/>
    </xf>
    <xf numFmtId="0" fontId="37" fillId="4" borderId="0" xfId="0" applyFont="1" applyFill="1" applyAlignment="1">
      <alignment wrapText="1"/>
    </xf>
    <xf numFmtId="0" fontId="38" fillId="4" borderId="0" xfId="0" applyFont="1" applyFill="1" applyAlignment="1">
      <alignment wrapText="1"/>
    </xf>
    <xf numFmtId="0" fontId="38" fillId="0" borderId="0" xfId="0" applyFont="1" applyAlignment="1">
      <alignment wrapText="1"/>
    </xf>
    <xf numFmtId="0" fontId="39" fillId="0" borderId="0" xfId="0" applyFont="1" applyAlignment="1">
      <alignment horizontal="left" wrapText="1"/>
    </xf>
    <xf numFmtId="0" fontId="39" fillId="0" borderId="0" xfId="0" applyFont="1" applyAlignment="1">
      <alignment wrapText="1"/>
    </xf>
    <xf numFmtId="0" fontId="39" fillId="0" borderId="0" xfId="0" applyFont="1" applyAlignment="1">
      <alignment horizontal="right" wrapText="1"/>
    </xf>
    <xf numFmtId="0" fontId="39" fillId="0" borderId="0" xfId="0" quotePrefix="1" applyFont="1" applyAlignment="1">
      <alignment horizontal="right" wrapText="1"/>
    </xf>
    <xf numFmtId="0" fontId="39" fillId="0" borderId="0" xfId="0" applyFont="1" applyAlignment="1">
      <alignment horizontal="center" wrapText="1"/>
    </xf>
    <xf numFmtId="8" fontId="35" fillId="0" borderId="0" xfId="0" applyNumberFormat="1" applyFont="1"/>
    <xf numFmtId="43" fontId="41" fillId="0" borderId="0" xfId="0" applyNumberFormat="1" applyFont="1" applyProtection="1">
      <protection locked="0"/>
    </xf>
    <xf numFmtId="0" fontId="42" fillId="0" borderId="0" xfId="0" applyFont="1" applyAlignment="1">
      <alignment horizontal="right"/>
    </xf>
    <xf numFmtId="40" fontId="35" fillId="0" borderId="0" xfId="0" applyNumberFormat="1" applyFont="1"/>
    <xf numFmtId="0" fontId="43" fillId="0" borderId="0" xfId="7" applyFont="1"/>
    <xf numFmtId="2" fontId="28" fillId="0" borderId="0" xfId="0" applyNumberFormat="1" applyFont="1" applyAlignment="1">
      <alignment wrapText="1"/>
    </xf>
    <xf numFmtId="8" fontId="19" fillId="0" borderId="17" xfId="0" applyNumberFormat="1" applyFont="1" applyBorder="1"/>
    <xf numFmtId="0" fontId="19" fillId="2" borderId="0" xfId="0" applyFont="1" applyFill="1" applyAlignment="1" applyProtection="1">
      <alignment horizontal="left"/>
      <protection locked="0"/>
    </xf>
    <xf numFmtId="0" fontId="19" fillId="2" borderId="0" xfId="0" applyFont="1" applyFill="1" applyProtection="1">
      <protection locked="0"/>
    </xf>
    <xf numFmtId="167" fontId="19" fillId="2" borderId="0" xfId="2" applyNumberFormat="1" applyFont="1" applyFill="1" applyProtection="1">
      <protection locked="0"/>
    </xf>
    <xf numFmtId="9" fontId="19" fillId="2" borderId="0" xfId="3" applyFont="1" applyFill="1" applyProtection="1">
      <protection locked="0"/>
    </xf>
    <xf numFmtId="3" fontId="19" fillId="0" borderId="0" xfId="0" applyNumberFormat="1" applyFont="1"/>
    <xf numFmtId="3" fontId="19" fillId="2" borderId="0" xfId="0" applyNumberFormat="1" applyFont="1" applyFill="1"/>
    <xf numFmtId="167" fontId="19" fillId="0" borderId="0" xfId="2" applyNumberFormat="1" applyFont="1" applyFill="1" applyBorder="1" applyProtection="1"/>
    <xf numFmtId="167" fontId="19" fillId="2" borderId="0" xfId="2" applyNumberFormat="1" applyFont="1" applyFill="1" applyBorder="1" applyProtection="1"/>
    <xf numFmtId="166" fontId="19" fillId="0" borderId="0" xfId="2" applyNumberFormat="1" applyFont="1" applyFill="1" applyBorder="1" applyProtection="1">
      <protection locked="0"/>
    </xf>
    <xf numFmtId="6" fontId="19" fillId="0" borderId="0" xfId="2" applyNumberFormat="1" applyFont="1" applyFill="1" applyBorder="1"/>
    <xf numFmtId="43" fontId="19" fillId="0" borderId="0" xfId="2" applyFont="1" applyFill="1" applyBorder="1"/>
    <xf numFmtId="43" fontId="19" fillId="0" borderId="0" xfId="5" applyNumberFormat="1" applyFont="1" applyFill="1" applyBorder="1"/>
    <xf numFmtId="168" fontId="35" fillId="0" borderId="0" xfId="0" applyNumberFormat="1" applyFont="1"/>
    <xf numFmtId="0" fontId="19" fillId="0" borderId="0" xfId="0" applyFont="1" applyAlignment="1">
      <alignment horizontal="right"/>
    </xf>
    <xf numFmtId="9" fontId="35" fillId="0" borderId="0" xfId="0" applyNumberFormat="1" applyFont="1"/>
    <xf numFmtId="0" fontId="35" fillId="0" borderId="17" xfId="0" applyFont="1" applyBorder="1"/>
    <xf numFmtId="164" fontId="19" fillId="0" borderId="1" xfId="1" applyNumberFormat="1" applyFont="1" applyBorder="1" applyAlignment="1" applyProtection="1">
      <alignment horizontal="right"/>
      <protection locked="0"/>
    </xf>
    <xf numFmtId="0" fontId="22" fillId="0" borderId="0" xfId="1" applyFont="1" applyAlignment="1">
      <alignment horizontal="left"/>
    </xf>
    <xf numFmtId="171" fontId="19" fillId="0" borderId="0" xfId="2" applyNumberFormat="1" applyFont="1" applyAlignment="1">
      <alignment horizontal="left" indent="1"/>
    </xf>
    <xf numFmtId="167" fontId="19" fillId="0" borderId="0" xfId="2" applyNumberFormat="1" applyFont="1" applyAlignment="1">
      <alignment horizontal="left" indent="1"/>
    </xf>
    <xf numFmtId="167" fontId="19" fillId="2" borderId="0" xfId="2" applyNumberFormat="1" applyFont="1" applyFill="1" applyAlignment="1">
      <alignment horizontal="right"/>
    </xf>
    <xf numFmtId="0" fontId="10" fillId="0" borderId="0" xfId="0" applyFont="1"/>
    <xf numFmtId="0" fontId="35" fillId="0" borderId="0" xfId="0" applyFont="1" applyAlignment="1">
      <alignment horizontal="center"/>
    </xf>
    <xf numFmtId="0" fontId="19" fillId="0" borderId="1" xfId="1" applyFont="1" applyBorder="1"/>
    <xf numFmtId="9" fontId="35" fillId="5" borderId="1" xfId="3" applyFont="1" applyFill="1" applyBorder="1" applyAlignment="1" applyProtection="1">
      <alignment horizontal="right"/>
      <protection locked="0"/>
    </xf>
    <xf numFmtId="164" fontId="19" fillId="5" borderId="0" xfId="1" applyNumberFormat="1" applyFont="1" applyFill="1" applyAlignment="1" applyProtection="1">
      <alignment horizontal="right"/>
      <protection locked="0"/>
    </xf>
    <xf numFmtId="164" fontId="35" fillId="5" borderId="0" xfId="3" applyNumberFormat="1" applyFont="1" applyFill="1" applyBorder="1" applyProtection="1">
      <protection locked="0"/>
    </xf>
    <xf numFmtId="9" fontId="19" fillId="2" borderId="0" xfId="3" applyFont="1" applyFill="1"/>
    <xf numFmtId="1" fontId="19" fillId="0" borderId="0" xfId="0" applyNumberFormat="1" applyFont="1" applyProtection="1">
      <protection locked="0"/>
    </xf>
    <xf numFmtId="165" fontId="19" fillId="2" borderId="0" xfId="0" applyNumberFormat="1" applyFont="1" applyFill="1" applyProtection="1">
      <protection locked="0"/>
    </xf>
    <xf numFmtId="167" fontId="19" fillId="2" borderId="0" xfId="2" applyNumberFormat="1" applyFont="1" applyFill="1" applyProtection="1"/>
    <xf numFmtId="164" fontId="19" fillId="0" borderId="0" xfId="2" applyNumberFormat="1" applyFont="1" applyFill="1" applyBorder="1"/>
    <xf numFmtId="0" fontId="36" fillId="0" borderId="0" xfId="0" applyFont="1" applyAlignment="1">
      <alignment horizontal="left"/>
    </xf>
    <xf numFmtId="0" fontId="19" fillId="2" borderId="0" xfId="0" applyFont="1" applyFill="1" applyAlignment="1">
      <alignment horizontal="right"/>
    </xf>
    <xf numFmtId="0" fontId="19" fillId="2" borderId="0" xfId="0" applyFont="1" applyFill="1" applyAlignment="1" applyProtection="1">
      <alignment wrapText="1"/>
      <protection locked="0"/>
    </xf>
    <xf numFmtId="167" fontId="19" fillId="2" borderId="0" xfId="2" applyNumberFormat="1" applyFont="1" applyFill="1" applyAlignment="1" applyProtection="1">
      <alignment horizontal="right" wrapText="1"/>
      <protection locked="0"/>
    </xf>
    <xf numFmtId="9" fontId="19" fillId="2" borderId="0" xfId="3" applyFont="1" applyFill="1" applyAlignment="1" applyProtection="1">
      <alignment horizontal="right" wrapText="1"/>
      <protection locked="0"/>
    </xf>
    <xf numFmtId="3" fontId="19" fillId="6" borderId="0" xfId="0" applyNumberFormat="1" applyFont="1" applyFill="1" applyAlignment="1">
      <alignment horizontal="right" wrapText="1"/>
    </xf>
    <xf numFmtId="3" fontId="19" fillId="0" borderId="0" xfId="0" applyNumberFormat="1" applyFont="1" applyAlignment="1">
      <alignment horizontal="right" wrapText="1"/>
    </xf>
    <xf numFmtId="165" fontId="19" fillId="0" borderId="0" xfId="0" applyNumberFormat="1" applyFont="1" applyAlignment="1" applyProtection="1">
      <alignment horizontal="right" wrapText="1"/>
      <protection locked="0"/>
    </xf>
    <xf numFmtId="0" fontId="19" fillId="2" borderId="0" xfId="0" applyFont="1" applyFill="1" applyAlignment="1" applyProtection="1">
      <alignment horizontal="right" wrapText="1"/>
      <protection locked="0"/>
    </xf>
    <xf numFmtId="0" fontId="19" fillId="2" borderId="0" xfId="0" quotePrefix="1" applyFont="1" applyFill="1" applyAlignment="1" applyProtection="1">
      <alignment horizontal="right" wrapText="1"/>
      <protection locked="0"/>
    </xf>
    <xf numFmtId="0" fontId="19" fillId="2" borderId="0" xfId="0" applyFont="1" applyFill="1" applyAlignment="1" applyProtection="1">
      <alignment horizontal="left" wrapText="1"/>
      <protection locked="0"/>
    </xf>
    <xf numFmtId="166" fontId="19" fillId="0" borderId="0" xfId="0" applyNumberFormat="1" applyFont="1" applyAlignment="1" applyProtection="1">
      <alignment horizontal="right" wrapText="1"/>
      <protection locked="0"/>
    </xf>
    <xf numFmtId="6" fontId="19" fillId="0" borderId="0" xfId="0" applyNumberFormat="1" applyFont="1" applyAlignment="1" applyProtection="1">
      <alignment horizontal="right" wrapText="1"/>
      <protection locked="0"/>
    </xf>
    <xf numFmtId="43" fontId="19" fillId="0" borderId="0" xfId="0" applyNumberFormat="1" applyFont="1" applyAlignment="1" applyProtection="1">
      <alignment horizontal="right" wrapText="1"/>
      <protection locked="0"/>
    </xf>
    <xf numFmtId="43" fontId="19" fillId="0" borderId="0" xfId="2" applyFont="1" applyAlignment="1" applyProtection="1">
      <alignment horizontal="right" wrapText="1"/>
      <protection locked="0"/>
    </xf>
    <xf numFmtId="8" fontId="19" fillId="0" borderId="0" xfId="0" applyNumberFormat="1" applyFont="1" applyAlignment="1" applyProtection="1">
      <alignment horizontal="right" wrapText="1"/>
      <protection locked="0"/>
    </xf>
    <xf numFmtId="4" fontId="19" fillId="0" borderId="0" xfId="0" applyNumberFormat="1" applyFont="1" applyAlignment="1" applyProtection="1">
      <alignment horizontal="right" wrapText="1"/>
      <protection locked="0"/>
    </xf>
    <xf numFmtId="0" fontId="19" fillId="2" borderId="0" xfId="0" applyFont="1" applyFill="1"/>
    <xf numFmtId="39" fontId="19" fillId="0" borderId="0" xfId="5" applyNumberFormat="1" applyFont="1" applyFill="1" applyBorder="1" applyProtection="1">
      <protection locked="0"/>
    </xf>
    <xf numFmtId="166" fontId="19" fillId="2" borderId="0" xfId="0" applyNumberFormat="1" applyFont="1" applyFill="1" applyProtection="1">
      <protection locked="0"/>
    </xf>
    <xf numFmtId="10" fontId="19" fillId="2" borderId="0" xfId="0" applyNumberFormat="1" applyFont="1" applyFill="1" applyProtection="1">
      <protection locked="0"/>
    </xf>
    <xf numFmtId="10" fontId="19" fillId="2" borderId="0" xfId="0" applyNumberFormat="1" applyFont="1" applyFill="1"/>
    <xf numFmtId="7" fontId="19" fillId="0" borderId="0" xfId="0" applyNumberFormat="1" applyFont="1" applyProtection="1">
      <protection locked="0"/>
    </xf>
    <xf numFmtId="9" fontId="19" fillId="2" borderId="0" xfId="0" applyNumberFormat="1" applyFont="1" applyFill="1" applyProtection="1">
      <protection locked="0"/>
    </xf>
    <xf numFmtId="164" fontId="19" fillId="2" borderId="0" xfId="0" applyNumberFormat="1" applyFont="1" applyFill="1" applyProtection="1">
      <protection locked="0"/>
    </xf>
    <xf numFmtId="167" fontId="19" fillId="2" borderId="0" xfId="2" applyNumberFormat="1" applyFont="1" applyFill="1" applyBorder="1" applyProtection="1">
      <protection locked="0"/>
    </xf>
    <xf numFmtId="9" fontId="19" fillId="2" borderId="0" xfId="3" applyFont="1" applyFill="1" applyBorder="1" applyProtection="1">
      <protection locked="0"/>
    </xf>
    <xf numFmtId="3" fontId="19" fillId="6" borderId="0" xfId="0" applyNumberFormat="1" applyFont="1" applyFill="1"/>
    <xf numFmtId="6" fontId="19" fillId="0" borderId="0" xfId="0" applyNumberFormat="1" applyFont="1" applyProtection="1">
      <protection locked="0"/>
    </xf>
    <xf numFmtId="43" fontId="19" fillId="0" borderId="0" xfId="0" applyNumberFormat="1" applyFont="1"/>
    <xf numFmtId="4" fontId="19" fillId="0" borderId="0" xfId="0" applyNumberFormat="1" applyFont="1" applyProtection="1">
      <protection locked="0"/>
    </xf>
    <xf numFmtId="43" fontId="19" fillId="0" borderId="0" xfId="0" applyNumberFormat="1" applyFont="1" applyProtection="1">
      <protection locked="0"/>
    </xf>
    <xf numFmtId="166" fontId="19" fillId="2" borderId="0" xfId="3" applyNumberFormat="1" applyFont="1" applyFill="1" applyBorder="1" applyProtection="1">
      <protection locked="0"/>
    </xf>
    <xf numFmtId="169" fontId="19" fillId="2" borderId="0" xfId="5" applyNumberFormat="1" applyFont="1" applyFill="1" applyBorder="1" applyProtection="1">
      <protection locked="0"/>
    </xf>
    <xf numFmtId="43" fontId="19" fillId="2" borderId="0" xfId="2" applyFont="1" applyFill="1" applyBorder="1" applyProtection="1">
      <protection locked="0"/>
    </xf>
    <xf numFmtId="44" fontId="19" fillId="0" borderId="0" xfId="5" applyFont="1" applyFill="1" applyBorder="1" applyProtection="1"/>
    <xf numFmtId="0" fontId="19" fillId="2" borderId="0" xfId="0" quotePrefix="1" applyFont="1" applyFill="1" applyAlignment="1" applyProtection="1">
      <alignment horizontal="left"/>
      <protection locked="0"/>
    </xf>
    <xf numFmtId="170" fontId="19" fillId="2" borderId="0" xfId="2" applyNumberFormat="1" applyFont="1" applyFill="1" applyBorder="1" applyProtection="1">
      <protection locked="0"/>
    </xf>
    <xf numFmtId="3" fontId="35" fillId="0" borderId="0" xfId="0" applyNumberFormat="1" applyFont="1"/>
    <xf numFmtId="165" fontId="19" fillId="0" borderId="0" xfId="0" applyNumberFormat="1" applyFont="1" applyProtection="1">
      <protection locked="0"/>
    </xf>
    <xf numFmtId="166" fontId="19" fillId="0" borderId="0" xfId="0" applyNumberFormat="1" applyFont="1" applyProtection="1">
      <protection locked="0"/>
    </xf>
    <xf numFmtId="164" fontId="19" fillId="0" borderId="0" xfId="0" applyNumberFormat="1" applyFont="1" applyProtection="1">
      <protection locked="0"/>
    </xf>
    <xf numFmtId="8" fontId="19" fillId="0" borderId="0" xfId="0" applyNumberFormat="1" applyFont="1" applyProtection="1">
      <protection locked="0"/>
    </xf>
    <xf numFmtId="6" fontId="35" fillId="0" borderId="0" xfId="0" applyNumberFormat="1" applyFont="1"/>
    <xf numFmtId="43" fontId="35" fillId="0" borderId="0" xfId="0" applyNumberFormat="1" applyFont="1"/>
    <xf numFmtId="43" fontId="35" fillId="0" borderId="0" xfId="2" applyFont="1"/>
    <xf numFmtId="0" fontId="47" fillId="4" borderId="0" xfId="0" applyFont="1" applyFill="1" applyAlignment="1">
      <alignment horizontal="center"/>
    </xf>
    <xf numFmtId="0" fontId="47" fillId="0" borderId="0" xfId="0" applyFont="1" applyAlignment="1">
      <alignment horizontal="center"/>
    </xf>
    <xf numFmtId="0" fontId="35" fillId="0" borderId="1" xfId="0" applyFont="1" applyBorder="1"/>
    <xf numFmtId="0" fontId="35" fillId="0" borderId="0" xfId="0" applyFont="1" applyAlignment="1">
      <alignment horizontal="left" indent="1"/>
    </xf>
    <xf numFmtId="9" fontId="35" fillId="0" borderId="0" xfId="3" applyFont="1"/>
    <xf numFmtId="0" fontId="35" fillId="0" borderId="1" xfId="0" applyFont="1" applyBorder="1" applyAlignment="1">
      <alignment horizontal="left" indent="1"/>
    </xf>
    <xf numFmtId="9" fontId="35" fillId="0" borderId="1" xfId="3" applyFont="1" applyBorder="1"/>
    <xf numFmtId="2" fontId="35" fillId="0" borderId="0" xfId="0" applyNumberFormat="1" applyFont="1"/>
    <xf numFmtId="43" fontId="35" fillId="0" borderId="18" xfId="2" applyFont="1" applyBorder="1"/>
    <xf numFmtId="0" fontId="31" fillId="0" borderId="0" xfId="0" applyFont="1"/>
    <xf numFmtId="0" fontId="25" fillId="0" borderId="0" xfId="1" applyFont="1" applyAlignment="1">
      <alignment horizontal="left"/>
    </xf>
    <xf numFmtId="0" fontId="25" fillId="0" borderId="0" xfId="1" applyFont="1" applyAlignment="1">
      <alignment horizontal="center"/>
    </xf>
    <xf numFmtId="0" fontId="50" fillId="0" borderId="0" xfId="1" applyFont="1" applyAlignment="1">
      <alignment horizontal="left"/>
    </xf>
    <xf numFmtId="166" fontId="35" fillId="0" borderId="0" xfId="3" applyNumberFormat="1" applyFont="1" applyFill="1" applyBorder="1" applyProtection="1">
      <protection locked="0"/>
    </xf>
    <xf numFmtId="10" fontId="35" fillId="5" borderId="0" xfId="3" applyNumberFormat="1" applyFont="1" applyFill="1" applyBorder="1" applyProtection="1">
      <protection locked="0"/>
    </xf>
    <xf numFmtId="9" fontId="35" fillId="2" borderId="0" xfId="3" applyFont="1" applyFill="1"/>
    <xf numFmtId="0" fontId="51" fillId="8" borderId="25" xfId="0" applyFont="1" applyFill="1" applyBorder="1"/>
    <xf numFmtId="0" fontId="51" fillId="0" borderId="0" xfId="0" applyFont="1"/>
    <xf numFmtId="0" fontId="20" fillId="2" borderId="0" xfId="0" applyFont="1" applyFill="1"/>
    <xf numFmtId="8" fontId="20" fillId="2" borderId="0" xfId="0" applyNumberFormat="1" applyFont="1" applyFill="1"/>
    <xf numFmtId="8" fontId="20" fillId="2" borderId="29" xfId="0" applyNumberFormat="1" applyFont="1" applyFill="1" applyBorder="1"/>
    <xf numFmtId="0" fontId="32" fillId="2" borderId="0" xfId="0" applyFont="1" applyFill="1"/>
    <xf numFmtId="8" fontId="32" fillId="2" borderId="0" xfId="0" applyNumberFormat="1" applyFont="1" applyFill="1"/>
    <xf numFmtId="43" fontId="35" fillId="2" borderId="0" xfId="2" applyFont="1" applyFill="1"/>
    <xf numFmtId="9" fontId="35" fillId="2" borderId="0" xfId="3" applyFont="1" applyFill="1" applyBorder="1"/>
    <xf numFmtId="2" fontId="35" fillId="2" borderId="0" xfId="0" applyNumberFormat="1" applyFont="1" applyFill="1"/>
    <xf numFmtId="172" fontId="19" fillId="2" borderId="0" xfId="0" applyNumberFormat="1" applyFont="1" applyFill="1" applyProtection="1">
      <protection locked="0"/>
    </xf>
    <xf numFmtId="43" fontId="2" fillId="0" borderId="0" xfId="2" applyFont="1" applyBorder="1" applyAlignment="1">
      <alignment horizontal="right"/>
    </xf>
    <xf numFmtId="0" fontId="2" fillId="0" borderId="0" xfId="1" applyFont="1"/>
    <xf numFmtId="9" fontId="2" fillId="0" borderId="0" xfId="3" applyFont="1" applyBorder="1" applyAlignment="1">
      <alignment horizontal="right"/>
    </xf>
    <xf numFmtId="0" fontId="2" fillId="0" borderId="0" xfId="0" applyFont="1" applyAlignment="1">
      <alignment horizontal="right"/>
    </xf>
    <xf numFmtId="167" fontId="2" fillId="0" borderId="0" xfId="2" applyNumberFormat="1" applyFont="1" applyBorder="1" applyAlignment="1">
      <alignment horizontal="right"/>
    </xf>
    <xf numFmtId="2" fontId="2" fillId="0" borderId="0" xfId="0" applyNumberFormat="1" applyFont="1" applyAlignment="1">
      <alignment horizontal="right"/>
    </xf>
    <xf numFmtId="43" fontId="2" fillId="0" borderId="0" xfId="0" applyNumberFormat="1" applyFont="1" applyAlignment="1">
      <alignment horizontal="right"/>
    </xf>
    <xf numFmtId="43" fontId="2" fillId="0" borderId="0" xfId="2" applyFont="1" applyBorder="1" applyAlignment="1">
      <alignment horizontal="left"/>
    </xf>
    <xf numFmtId="43" fontId="0" fillId="0" borderId="0" xfId="2" applyFont="1" applyBorder="1" applyAlignment="1">
      <alignment horizontal="left"/>
    </xf>
    <xf numFmtId="0" fontId="35" fillId="6" borderId="0" xfId="0" applyFont="1" applyFill="1"/>
    <xf numFmtId="0" fontId="17" fillId="6" borderId="0" xfId="7" applyFill="1"/>
    <xf numFmtId="0" fontId="17" fillId="6" borderId="0" xfId="7" applyFill="1" applyAlignment="1">
      <alignment horizontal="left" vertical="center" wrapText="1"/>
    </xf>
    <xf numFmtId="0" fontId="5" fillId="4" borderId="3" xfId="0" applyFont="1" applyFill="1" applyBorder="1"/>
    <xf numFmtId="0" fontId="5" fillId="4" borderId="4" xfId="0" applyFont="1" applyFill="1" applyBorder="1"/>
    <xf numFmtId="0" fontId="14" fillId="4" borderId="3" xfId="6" applyFont="1" applyFill="1" applyBorder="1" applyAlignment="1">
      <alignment horizontal="center"/>
    </xf>
    <xf numFmtId="0" fontId="14" fillId="4" borderId="4" xfId="6" applyFont="1" applyFill="1" applyBorder="1" applyAlignment="1">
      <alignment horizontal="center"/>
    </xf>
    <xf numFmtId="0" fontId="14" fillId="4" borderId="14" xfId="6" applyFont="1" applyFill="1" applyBorder="1" applyAlignment="1">
      <alignment horizontal="center"/>
    </xf>
    <xf numFmtId="0" fontId="0" fillId="6" borderId="0" xfId="0" applyFill="1" applyAlignment="1">
      <alignment horizontal="right"/>
    </xf>
    <xf numFmtId="0" fontId="0" fillId="6" borderId="0" xfId="0" applyFill="1"/>
    <xf numFmtId="0" fontId="7" fillId="6" borderId="0" xfId="0" applyFont="1" applyFill="1" applyAlignment="1">
      <alignment horizontal="center" wrapText="1"/>
    </xf>
    <xf numFmtId="0" fontId="18" fillId="4" borderId="5" xfId="6" applyFont="1" applyFill="1" applyBorder="1" applyAlignment="1">
      <alignment horizontal="left"/>
    </xf>
    <xf numFmtId="0" fontId="18" fillId="4" borderId="15" xfId="6" applyFont="1" applyFill="1" applyBorder="1" applyAlignment="1">
      <alignment horizontal="left"/>
    </xf>
    <xf numFmtId="0" fontId="35" fillId="0" borderId="0" xfId="0" applyFont="1" applyAlignment="1">
      <alignment horizontal="left" wrapText="1"/>
    </xf>
    <xf numFmtId="0" fontId="48" fillId="4" borderId="0" xfId="0" applyFont="1" applyFill="1" applyAlignment="1">
      <alignment horizontal="center"/>
    </xf>
    <xf numFmtId="0" fontId="18" fillId="4" borderId="0" xfId="6" applyFont="1" applyFill="1" applyAlignment="1">
      <alignment horizontal="center"/>
    </xf>
    <xf numFmtId="0" fontId="21" fillId="6" borderId="1" xfId="1" applyFont="1" applyFill="1" applyBorder="1" applyAlignment="1">
      <alignment horizontal="center"/>
    </xf>
    <xf numFmtId="0" fontId="21" fillId="0" borderId="22" xfId="1" applyFont="1" applyBorder="1" applyAlignment="1">
      <alignment horizontal="center" vertical="center" textRotation="90"/>
    </xf>
    <xf numFmtId="0" fontId="28" fillId="0" borderId="1" xfId="0" applyFont="1" applyBorder="1" applyAlignment="1">
      <alignment horizontal="left"/>
    </xf>
    <xf numFmtId="0" fontId="29" fillId="0" borderId="13" xfId="0" applyFont="1" applyBorder="1" applyAlignment="1">
      <alignment horizontal="left"/>
    </xf>
    <xf numFmtId="0" fontId="29" fillId="0" borderId="1" xfId="0" applyFont="1" applyBorder="1" applyAlignment="1">
      <alignment horizontal="left"/>
    </xf>
    <xf numFmtId="0" fontId="29" fillId="0" borderId="13" xfId="0" applyFont="1" applyBorder="1" applyAlignment="1">
      <alignment horizontal="center"/>
    </xf>
    <xf numFmtId="0" fontId="29" fillId="0" borderId="1" xfId="0" applyFont="1" applyBorder="1" applyAlignment="1">
      <alignment horizontal="center"/>
    </xf>
    <xf numFmtId="0" fontId="29" fillId="0" borderId="13" xfId="0" applyFont="1" applyBorder="1" applyAlignment="1">
      <alignment horizontal="center" wrapText="1"/>
    </xf>
    <xf numFmtId="0" fontId="29" fillId="0" borderId="1" xfId="0" applyFont="1" applyBorder="1" applyAlignment="1">
      <alignment horizontal="center" wrapText="1"/>
    </xf>
    <xf numFmtId="43" fontId="2" fillId="0" borderId="0" xfId="2" applyFont="1" applyBorder="1" applyAlignment="1">
      <alignment horizontal="left" wrapText="1"/>
    </xf>
    <xf numFmtId="0" fontId="16" fillId="4" borderId="5" xfId="6" applyFont="1" applyFill="1" applyBorder="1" applyAlignment="1">
      <alignment horizontal="center"/>
    </xf>
    <xf numFmtId="0" fontId="16" fillId="4" borderId="15" xfId="6" applyFont="1" applyFill="1" applyBorder="1" applyAlignment="1">
      <alignment horizontal="center"/>
    </xf>
    <xf numFmtId="0" fontId="16" fillId="4" borderId="16" xfId="6" applyFont="1" applyFill="1" applyBorder="1" applyAlignment="1">
      <alignment horizontal="center"/>
    </xf>
  </cellXfs>
  <cellStyles count="8">
    <cellStyle name="Comma" xfId="2" builtinId="3"/>
    <cellStyle name="Currency" xfId="5" builtinId="4"/>
    <cellStyle name="Hyperlink" xfId="7" builtinId="8"/>
    <cellStyle name="Normal" xfId="0" builtinId="0"/>
    <cellStyle name="Normal 2" xfId="1" xr:uid="{00000000-0005-0000-0000-000001000000}"/>
    <cellStyle name="Normal 2 2" xfId="6" xr:uid="{F63A5185-3492-45C4-AD44-1405810C5A33}"/>
    <cellStyle name="Output" xfId="4" builtinId="21"/>
    <cellStyle name="Percent" xfId="3" builtinId="5"/>
  </cellStyles>
  <dxfs count="137">
    <dxf>
      <font>
        <color theme="2" tint="-0.499984740745262"/>
      </font>
    </dxf>
    <dxf>
      <font>
        <color theme="2" tint="-0.499984740745262"/>
      </font>
    </dxf>
    <dxf>
      <font>
        <strike val="0"/>
        <color theme="0"/>
      </font>
    </dxf>
    <dxf>
      <font>
        <strike val="0"/>
        <color theme="0"/>
      </font>
    </dxf>
    <dxf>
      <font>
        <color theme="2" tint="-0.499984740745262"/>
      </font>
    </dxf>
    <dxf>
      <font>
        <b val="0"/>
        <i/>
        <condense val="0"/>
        <extend val="0"/>
      </font>
    </dxf>
    <dxf>
      <font>
        <color theme="2" tint="-0.499984740745262"/>
      </font>
    </dxf>
    <dxf>
      <font>
        <color theme="2" tint="-0.499984740745262"/>
      </font>
    </dxf>
    <dxf>
      <font>
        <strike val="0"/>
        <color theme="0"/>
      </font>
    </dxf>
    <dxf>
      <font>
        <strike val="0"/>
        <color theme="0"/>
      </font>
    </dxf>
    <dxf>
      <font>
        <color theme="2" tint="-0.499984740745262"/>
      </font>
    </dxf>
    <dxf>
      <font>
        <b val="0"/>
        <i/>
        <condense val="0"/>
        <extend val="0"/>
      </font>
    </dxf>
    <dxf>
      <font>
        <color theme="2" tint="-0.499984740745262"/>
      </font>
    </dxf>
    <dxf>
      <font>
        <color theme="2" tint="-0.499984740745262"/>
      </font>
    </dxf>
    <dxf>
      <font>
        <strike val="0"/>
        <color theme="0"/>
      </font>
    </dxf>
    <dxf>
      <font>
        <strike val="0"/>
        <color theme="0"/>
      </font>
    </dxf>
    <dxf>
      <font>
        <color theme="2" tint="-0.499984740745262"/>
      </font>
    </dxf>
    <dxf>
      <font>
        <b val="0"/>
        <i/>
        <condense val="0"/>
        <extend val="0"/>
      </font>
    </dxf>
    <dxf>
      <font>
        <color theme="2" tint="-0.499984740745262"/>
      </font>
    </dxf>
    <dxf>
      <font>
        <color theme="2" tint="-0.499984740745262"/>
      </font>
    </dxf>
    <dxf>
      <font>
        <strike val="0"/>
        <color theme="0"/>
      </font>
    </dxf>
    <dxf>
      <font>
        <strike val="0"/>
        <color theme="0"/>
      </font>
    </dxf>
    <dxf>
      <font>
        <color theme="2" tint="-0.499984740745262"/>
      </font>
    </dxf>
    <dxf>
      <font>
        <b val="0"/>
        <i/>
        <condense val="0"/>
        <extend val="0"/>
      </font>
    </dxf>
    <dxf>
      <font>
        <color theme="2" tint="-0.499984740745262"/>
      </font>
    </dxf>
    <dxf>
      <font>
        <color theme="2" tint="-0.499984740745262"/>
      </font>
    </dxf>
    <dxf>
      <font>
        <strike val="0"/>
        <color theme="0"/>
      </font>
    </dxf>
    <dxf>
      <font>
        <strike val="0"/>
        <color theme="0"/>
      </font>
    </dxf>
    <dxf>
      <font>
        <color theme="2" tint="-0.499984740745262"/>
      </font>
    </dxf>
    <dxf>
      <font>
        <b val="0"/>
        <i/>
        <condense val="0"/>
        <extend val="0"/>
      </font>
    </dxf>
    <dxf>
      <font>
        <color theme="2" tint="-0.499984740745262"/>
      </font>
    </dxf>
    <dxf>
      <font>
        <color theme="2" tint="-0.499984740745262"/>
      </font>
    </dxf>
    <dxf>
      <font>
        <strike val="0"/>
        <color theme="0"/>
      </font>
    </dxf>
    <dxf>
      <font>
        <strike val="0"/>
        <color theme="0"/>
      </font>
    </dxf>
    <dxf>
      <font>
        <color theme="2" tint="-0.499984740745262"/>
      </font>
    </dxf>
    <dxf>
      <font>
        <b val="0"/>
        <i/>
        <condense val="0"/>
        <extend val="0"/>
      </font>
    </dxf>
    <dxf>
      <font>
        <color theme="2" tint="-0.499984740745262"/>
      </font>
    </dxf>
    <dxf>
      <font>
        <color theme="2" tint="-0.499984740745262"/>
      </font>
    </dxf>
    <dxf>
      <font>
        <strike val="0"/>
        <color theme="0"/>
      </font>
    </dxf>
    <dxf>
      <font>
        <strike val="0"/>
        <color theme="0"/>
      </font>
    </dxf>
    <dxf>
      <font>
        <color theme="2" tint="-0.499984740745262"/>
      </font>
    </dxf>
    <dxf>
      <font>
        <b val="0"/>
        <i/>
        <condense val="0"/>
        <extend val="0"/>
      </font>
    </dxf>
    <dxf>
      <font>
        <color theme="2" tint="-0.499984740745262"/>
      </font>
    </dxf>
    <dxf>
      <font>
        <color theme="2" tint="-0.499984740745262"/>
      </font>
    </dxf>
    <dxf>
      <font>
        <strike val="0"/>
        <color theme="0"/>
      </font>
    </dxf>
    <dxf>
      <font>
        <strike val="0"/>
        <color theme="0"/>
      </font>
    </dxf>
    <dxf>
      <font>
        <color theme="2" tint="-0.499984740745262"/>
      </font>
    </dxf>
    <dxf>
      <font>
        <color theme="2" tint="-0.499984740745262"/>
      </font>
    </dxf>
    <dxf>
      <font>
        <b val="0"/>
        <i/>
        <condense val="0"/>
        <extend val="0"/>
      </font>
    </dxf>
    <dxf>
      <font>
        <color theme="2" tint="-0.499984740745262"/>
      </font>
    </dxf>
    <dxf>
      <font>
        <color theme="2" tint="-0.499984740745262"/>
      </font>
    </dxf>
    <dxf>
      <font>
        <strike val="0"/>
        <color theme="0"/>
      </font>
    </dxf>
    <dxf>
      <font>
        <strike val="0"/>
        <color theme="0"/>
      </font>
    </dxf>
    <dxf>
      <font>
        <color theme="2" tint="-0.499984740745262"/>
      </font>
    </dxf>
    <dxf>
      <font>
        <b val="0"/>
        <i/>
        <condense val="0"/>
        <extend val="0"/>
      </font>
    </dxf>
    <dxf>
      <font>
        <color theme="2" tint="-0.499984740745262"/>
      </font>
    </dxf>
    <dxf>
      <font>
        <strike val="0"/>
        <color theme="0"/>
      </font>
    </dxf>
    <dxf>
      <font>
        <strike val="0"/>
        <color theme="0"/>
      </font>
    </dxf>
    <dxf>
      <font>
        <color theme="2" tint="-0.499984740745262"/>
      </font>
    </dxf>
    <dxf>
      <font>
        <b val="0"/>
        <i/>
        <condense val="0"/>
        <extend val="0"/>
      </font>
    </dxf>
    <dxf>
      <font>
        <strike val="0"/>
        <outline val="0"/>
        <shadow val="0"/>
        <u val="none"/>
        <vertAlign val="baseline"/>
        <sz val="11"/>
        <name val="Aptos"/>
        <family val="2"/>
        <scheme val="none"/>
      </font>
      <fill>
        <patternFill patternType="solid">
          <fgColor indexed="64"/>
          <bgColor theme="2"/>
        </patternFill>
      </fill>
    </dxf>
    <dxf>
      <font>
        <strike val="0"/>
        <outline val="0"/>
        <shadow val="0"/>
        <u val="none"/>
        <vertAlign val="baseline"/>
        <sz val="11"/>
        <name val="Aptos"/>
        <family val="2"/>
        <scheme val="none"/>
      </font>
      <numFmt numFmtId="12" formatCode="&quot;$&quot;#,##0.00_);[Red]\(&quot;$&quot;#,##0.00\)"/>
      <fill>
        <patternFill patternType="solid">
          <fgColor indexed="64"/>
          <bgColor theme="2"/>
        </patternFill>
      </fill>
    </dxf>
    <dxf>
      <font>
        <strike val="0"/>
        <outline val="0"/>
        <shadow val="0"/>
        <u val="none"/>
        <vertAlign val="baseline"/>
        <sz val="11"/>
        <name val="Aptos"/>
        <family val="2"/>
        <scheme val="none"/>
      </font>
      <fill>
        <patternFill patternType="solid">
          <fgColor indexed="64"/>
          <bgColor theme="2"/>
        </patternFill>
      </fill>
    </dxf>
    <dxf>
      <font>
        <strike val="0"/>
        <outline val="0"/>
        <shadow val="0"/>
        <u val="none"/>
        <vertAlign val="baseline"/>
        <sz val="11"/>
        <name val="Aptos"/>
        <family val="2"/>
        <scheme val="none"/>
      </font>
      <fill>
        <patternFill patternType="solid">
          <fgColor indexed="64"/>
          <bgColor theme="2"/>
        </patternFill>
      </fill>
    </dxf>
    <dxf>
      <font>
        <b/>
        <i val="0"/>
        <strike val="0"/>
        <condense val="0"/>
        <extend val="0"/>
        <outline val="0"/>
        <shadow val="0"/>
        <u val="none"/>
        <vertAlign val="baseline"/>
        <sz val="11"/>
        <color rgb="FFF1B82D"/>
        <name val="Aptos"/>
        <family val="2"/>
        <scheme val="none"/>
      </font>
      <fill>
        <patternFill patternType="none">
          <fgColor indexed="64"/>
          <bgColor auto="1"/>
        </patternFill>
      </fill>
      <alignment horizontal="general" vertical="bottom" textRotation="0" wrapText="0" indent="0" justifyLastLine="0" shrinkToFit="0" readingOrder="0"/>
    </dxf>
    <dxf>
      <font>
        <strike val="0"/>
        <outline val="0"/>
        <shadow val="0"/>
        <u val="none"/>
        <vertAlign val="baseline"/>
        <sz val="12"/>
        <color auto="1"/>
        <name val="Aptos"/>
        <family val="2"/>
        <scheme val="none"/>
      </font>
      <fill>
        <patternFill patternType="none">
          <fgColor indexed="64"/>
          <bgColor auto="1"/>
        </patternFill>
      </fill>
    </dxf>
    <dxf>
      <font>
        <b val="0"/>
        <i val="0"/>
        <strike val="0"/>
        <condense val="0"/>
        <extend val="0"/>
        <outline val="0"/>
        <shadow val="0"/>
        <u val="none"/>
        <vertAlign val="baseline"/>
        <sz val="12"/>
        <color auto="1"/>
        <name val="Aptos"/>
        <family val="2"/>
        <scheme val="none"/>
      </font>
    </dxf>
    <dxf>
      <font>
        <strike val="0"/>
        <outline val="0"/>
        <shadow val="0"/>
        <u val="none"/>
        <vertAlign val="baseline"/>
        <sz val="12"/>
        <name val="Aptos"/>
        <family val="2"/>
        <scheme val="none"/>
      </font>
    </dxf>
    <dxf>
      <font>
        <b val="0"/>
        <i val="0"/>
        <strike val="0"/>
        <condense val="0"/>
        <extend val="0"/>
        <outline val="0"/>
        <shadow val="0"/>
        <u val="none"/>
        <vertAlign val="baseline"/>
        <sz val="12"/>
        <color rgb="FFF1B82D"/>
        <name val="Aptos"/>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ptos"/>
        <family val="2"/>
        <scheme val="none"/>
      </font>
      <numFmt numFmtId="35" formatCode="_(* #,##0.00_);_(* \(#,##0.00\);_(* &quot;-&quot;??_);_(@_)"/>
      <fill>
        <patternFill patternType="none">
          <fgColor indexed="64"/>
          <bgColor auto="1"/>
        </patternFill>
      </fill>
      <protection locked="0" hidden="0"/>
    </dxf>
    <dxf>
      <font>
        <b val="0"/>
        <i val="0"/>
        <strike val="0"/>
        <condense val="0"/>
        <extend val="0"/>
        <outline val="0"/>
        <shadow val="0"/>
        <u val="none"/>
        <vertAlign val="baseline"/>
        <sz val="12"/>
        <color auto="1"/>
        <name val="Aptos"/>
        <family val="2"/>
        <scheme val="none"/>
      </font>
      <numFmt numFmtId="4" formatCode="#,##0.00"/>
      <fill>
        <patternFill patternType="none">
          <fgColor indexed="64"/>
          <bgColor auto="1"/>
        </patternFill>
      </fill>
      <protection locked="0" hidden="0"/>
    </dxf>
    <dxf>
      <font>
        <b val="0"/>
        <i val="0"/>
        <strike val="0"/>
        <condense val="0"/>
        <extend val="0"/>
        <outline val="0"/>
        <shadow val="0"/>
        <u val="none"/>
        <vertAlign val="baseline"/>
        <sz val="12"/>
        <color auto="1"/>
        <name val="Aptos"/>
        <family val="2"/>
        <scheme val="none"/>
      </font>
      <numFmt numFmtId="12" formatCode="&quot;$&quot;#,##0.00_);[Red]\(&quot;$&quot;#,##0.00\)"/>
      <fill>
        <patternFill patternType="none">
          <fgColor indexed="64"/>
          <bgColor auto="1"/>
        </patternFill>
      </fill>
      <protection locked="0" hidden="0"/>
    </dxf>
    <dxf>
      <font>
        <b val="0"/>
        <i val="0"/>
        <strike val="0"/>
        <condense val="0"/>
        <extend val="0"/>
        <outline val="0"/>
        <shadow val="0"/>
        <u val="none"/>
        <vertAlign val="baseline"/>
        <sz val="12"/>
        <color auto="1"/>
        <name val="Aptos"/>
        <family val="2"/>
        <scheme val="none"/>
      </font>
      <numFmt numFmtId="35" formatCode="_(* #,##0.00_);_(* \(#,##0.00\);_(* &quot;-&quot;??_);_(@_)"/>
      <fill>
        <patternFill patternType="none">
          <fgColor indexed="64"/>
          <bgColor auto="1"/>
        </patternFill>
      </fill>
      <protection locked="0" hidden="0"/>
    </dxf>
    <dxf>
      <font>
        <b val="0"/>
        <i val="0"/>
        <strike val="0"/>
        <condense val="0"/>
        <extend val="0"/>
        <outline val="0"/>
        <shadow val="0"/>
        <u val="none"/>
        <vertAlign val="baseline"/>
        <sz val="12"/>
        <color auto="1"/>
        <name val="Aptos"/>
        <family val="2"/>
        <scheme val="none"/>
      </font>
      <numFmt numFmtId="35" formatCode="_(* #,##0.00_);_(* \(#,##0.00\);_(* &quot;-&quot;??_);_(@_)"/>
      <fill>
        <patternFill patternType="none">
          <fgColor indexed="64"/>
          <bgColor auto="1"/>
        </patternFill>
      </fill>
      <protection locked="0" hidden="0"/>
    </dxf>
    <dxf>
      <font>
        <b val="0"/>
        <i val="0"/>
        <strike val="0"/>
        <condense val="0"/>
        <extend val="0"/>
        <outline val="0"/>
        <shadow val="0"/>
        <u val="none"/>
        <vertAlign val="baseline"/>
        <sz val="12"/>
        <color auto="1"/>
        <name val="Aptos"/>
        <family val="2"/>
        <scheme val="none"/>
      </font>
      <numFmt numFmtId="10" formatCode="&quot;$&quot;#,##0_);[Red]\(&quot;$&quot;#,##0\)"/>
      <fill>
        <patternFill patternType="none">
          <fgColor indexed="64"/>
          <bgColor auto="1"/>
        </patternFill>
      </fill>
      <protection locked="0" hidden="0"/>
    </dxf>
    <dxf>
      <font>
        <b val="0"/>
        <i val="0"/>
        <strike val="0"/>
        <condense val="0"/>
        <extend val="0"/>
        <outline val="0"/>
        <shadow val="0"/>
        <u val="none"/>
        <vertAlign val="baseline"/>
        <sz val="12"/>
        <color auto="1"/>
        <name val="Aptos"/>
        <family val="2"/>
        <scheme val="none"/>
      </font>
      <numFmt numFmtId="166" formatCode="0.0%"/>
      <fill>
        <patternFill patternType="none">
          <fgColor indexed="64"/>
          <bgColor auto="1"/>
        </patternFill>
      </fill>
      <protection locked="0" hidden="0"/>
    </dxf>
    <dxf>
      <font>
        <b val="0"/>
        <i val="0"/>
        <strike val="0"/>
        <condense val="0"/>
        <extend val="0"/>
        <outline val="0"/>
        <shadow val="0"/>
        <u val="none"/>
        <vertAlign val="baseline"/>
        <sz val="12"/>
        <color auto="1"/>
        <name val="Aptos"/>
        <family val="2"/>
        <scheme val="none"/>
      </font>
      <fill>
        <patternFill patternType="solid">
          <fgColor indexed="64"/>
          <bgColor theme="2"/>
        </patternFill>
      </fill>
      <protection locked="0" hidden="0"/>
    </dxf>
    <dxf>
      <font>
        <b val="0"/>
        <i val="0"/>
        <strike val="0"/>
        <condense val="0"/>
        <extend val="0"/>
        <outline val="0"/>
        <shadow val="0"/>
        <u val="none"/>
        <vertAlign val="baseline"/>
        <sz val="12"/>
        <color auto="1"/>
        <name val="Aptos"/>
        <family val="2"/>
        <scheme val="none"/>
      </font>
      <fill>
        <patternFill patternType="solid">
          <fgColor indexed="64"/>
          <bgColor theme="2"/>
        </patternFill>
      </fill>
      <protection locked="0" hidden="0"/>
    </dxf>
    <dxf>
      <font>
        <b val="0"/>
        <i val="0"/>
        <strike val="0"/>
        <condense val="0"/>
        <extend val="0"/>
        <outline val="0"/>
        <shadow val="0"/>
        <u val="none"/>
        <vertAlign val="baseline"/>
        <sz val="12"/>
        <color auto="1"/>
        <name val="Aptos"/>
        <family val="2"/>
        <scheme val="none"/>
      </font>
      <fill>
        <patternFill patternType="solid">
          <fgColor indexed="64"/>
          <bgColor theme="2"/>
        </patternFill>
      </fill>
      <protection locked="0" hidden="0"/>
    </dxf>
    <dxf>
      <font>
        <b val="0"/>
        <i val="0"/>
        <strike val="0"/>
        <condense val="0"/>
        <extend val="0"/>
        <outline val="0"/>
        <shadow val="0"/>
        <u val="none"/>
        <vertAlign val="baseline"/>
        <sz val="12"/>
        <color auto="1"/>
        <name val="Aptos"/>
        <family val="2"/>
        <scheme val="none"/>
      </font>
      <fill>
        <patternFill patternType="solid">
          <fgColor indexed="64"/>
          <bgColor theme="2"/>
        </patternFill>
      </fill>
      <protection locked="0" hidden="0"/>
    </dxf>
    <dxf>
      <font>
        <b val="0"/>
        <i val="0"/>
        <strike val="0"/>
        <condense val="0"/>
        <extend val="0"/>
        <outline val="0"/>
        <shadow val="0"/>
        <u val="none"/>
        <vertAlign val="baseline"/>
        <sz val="12"/>
        <color auto="1"/>
        <name val="Aptos"/>
        <family val="2"/>
        <scheme val="none"/>
      </font>
      <numFmt numFmtId="165" formatCode="0.0"/>
      <fill>
        <patternFill patternType="none">
          <fgColor indexed="64"/>
          <bgColor auto="1"/>
        </patternFill>
      </fill>
      <protection locked="0" hidden="0"/>
    </dxf>
    <dxf>
      <font>
        <b val="0"/>
        <i val="0"/>
        <strike val="0"/>
        <condense val="0"/>
        <extend val="0"/>
        <outline val="0"/>
        <shadow val="0"/>
        <u val="none"/>
        <vertAlign val="baseline"/>
        <sz val="12"/>
        <color auto="1"/>
        <name val="Aptos"/>
        <family val="2"/>
        <scheme val="none"/>
      </font>
      <fill>
        <patternFill patternType="solid">
          <fgColor indexed="64"/>
          <bgColor theme="2"/>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ptos"/>
        <family val="2"/>
        <scheme val="none"/>
      </font>
      <numFmt numFmtId="3" formatCode="#,##0"/>
      <fill>
        <patternFill patternType="none">
          <fgColor indexed="64"/>
          <bgColor auto="1"/>
        </patternFill>
      </fill>
    </dxf>
    <dxf>
      <font>
        <b val="0"/>
        <i val="0"/>
        <strike val="0"/>
        <condense val="0"/>
        <extend val="0"/>
        <outline val="0"/>
        <shadow val="0"/>
        <u val="none"/>
        <vertAlign val="baseline"/>
        <sz val="12"/>
        <color auto="1"/>
        <name val="Aptos"/>
        <family val="2"/>
        <scheme val="none"/>
      </font>
      <numFmt numFmtId="3" formatCode="#,##0"/>
      <fill>
        <patternFill patternType="solid">
          <fgColor indexed="64"/>
          <bgColor theme="0"/>
        </patternFill>
      </fill>
    </dxf>
    <dxf>
      <font>
        <b val="0"/>
        <i val="0"/>
        <strike val="0"/>
        <condense val="0"/>
        <extend val="0"/>
        <outline val="0"/>
        <shadow val="0"/>
        <u val="none"/>
        <vertAlign val="baseline"/>
        <sz val="12"/>
        <color auto="1"/>
        <name val="Aptos"/>
        <family val="2"/>
        <scheme val="none"/>
      </font>
      <fill>
        <patternFill patternType="solid">
          <fgColor indexed="64"/>
          <bgColor theme="2"/>
        </patternFill>
      </fill>
      <protection locked="0" hidden="0"/>
    </dxf>
    <dxf>
      <font>
        <b val="0"/>
        <i val="0"/>
        <strike val="0"/>
        <condense val="0"/>
        <extend val="0"/>
        <outline val="0"/>
        <shadow val="0"/>
        <u val="none"/>
        <vertAlign val="baseline"/>
        <sz val="12"/>
        <color auto="1"/>
        <name val="Aptos"/>
        <family val="2"/>
        <scheme val="none"/>
      </font>
      <numFmt numFmtId="167" formatCode="_(* #,##0_);_(* \(#,##0\);_(* &quot;-&quot;??_);_(@_)"/>
      <fill>
        <patternFill patternType="solid">
          <fgColor indexed="64"/>
          <bgColor theme="2"/>
        </patternFill>
      </fill>
      <protection locked="0" hidden="0"/>
    </dxf>
    <dxf>
      <font>
        <b val="0"/>
        <i val="0"/>
        <strike val="0"/>
        <condense val="0"/>
        <extend val="0"/>
        <outline val="0"/>
        <shadow val="0"/>
        <u val="none"/>
        <vertAlign val="baseline"/>
        <sz val="12"/>
        <color auto="1"/>
        <name val="Aptos"/>
        <family val="2"/>
        <scheme val="none"/>
      </font>
      <fill>
        <patternFill patternType="solid">
          <fgColor indexed="64"/>
          <bgColor theme="2"/>
        </patternFill>
      </fill>
      <protection locked="0" hidden="0"/>
    </dxf>
    <dxf>
      <font>
        <b val="0"/>
        <i val="0"/>
        <strike val="0"/>
        <condense val="0"/>
        <extend val="0"/>
        <outline val="0"/>
        <shadow val="0"/>
        <u val="none"/>
        <vertAlign val="baseline"/>
        <sz val="12"/>
        <color auto="1"/>
        <name val="Aptos"/>
        <family val="2"/>
        <scheme val="none"/>
      </font>
      <fill>
        <patternFill patternType="solid">
          <fgColor indexed="64"/>
          <bgColor theme="2"/>
        </patternFill>
      </fill>
      <alignment horizontal="right" vertical="bottom" textRotation="0" wrapText="0" indent="0" justifyLastLine="0" shrinkToFit="0" readingOrder="0"/>
    </dxf>
    <dxf>
      <font>
        <b val="0"/>
        <i val="0"/>
        <strike val="0"/>
        <condense val="0"/>
        <extend val="0"/>
        <outline val="0"/>
        <shadow val="0"/>
        <u val="none"/>
        <vertAlign val="baseline"/>
        <sz val="12"/>
        <color indexed="8"/>
        <name val="Aptos"/>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indexed="12"/>
        <name val="Aptos"/>
        <family val="2"/>
        <scheme val="none"/>
      </font>
      <fill>
        <patternFill patternType="solid">
          <fgColor indexed="64"/>
          <bgColor rgb="FFFFFF66"/>
        </patternFill>
      </fill>
      <protection locked="0" hidden="0"/>
    </dxf>
    <dxf>
      <font>
        <b val="0"/>
        <i val="0"/>
        <strike val="0"/>
        <condense val="0"/>
        <extend val="0"/>
        <outline val="0"/>
        <shadow val="0"/>
        <u val="none"/>
        <vertAlign val="baseline"/>
        <sz val="12"/>
        <color rgb="FFF1B82D"/>
        <name val="Aptos"/>
        <family val="2"/>
        <scheme val="none"/>
      </font>
      <alignment horizontal="left" vertical="bottom" textRotation="0" wrapText="1" indent="0" justifyLastLine="0" shrinkToFit="0" readingOrder="0"/>
    </dxf>
    <dxf>
      <font>
        <b val="0"/>
        <i val="0"/>
        <strike val="0"/>
        <condense val="0"/>
        <extend val="0"/>
        <outline val="0"/>
        <shadow val="0"/>
        <u val="none"/>
        <vertAlign val="baseline"/>
        <sz val="12"/>
        <color auto="1"/>
        <name val="Aptos"/>
        <family val="2"/>
        <scheme val="none"/>
      </font>
      <fill>
        <patternFill patternType="none">
          <fgColor indexed="64"/>
          <bgColor auto="1"/>
        </patternFill>
      </fill>
      <alignment horizontal="right" vertical="bottom" textRotation="0" wrapText="0"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2"/>
        <color auto="1"/>
        <name val="Aptos"/>
        <family val="2"/>
        <scheme val="none"/>
      </font>
      <fill>
        <patternFill patternType="solid">
          <fgColor indexed="64"/>
          <bgColor theme="2"/>
        </patternFill>
      </fill>
      <border diagonalUp="0" diagonalDown="0" outline="0">
        <left/>
        <right/>
        <top style="thin">
          <color theme="4" tint="0.39997558519241921"/>
        </top>
        <bottom/>
      </border>
    </dxf>
    <dxf>
      <font>
        <strike val="0"/>
        <outline val="0"/>
        <shadow val="0"/>
        <u val="none"/>
        <vertAlign val="baseline"/>
        <sz val="12"/>
        <name val="Aptos"/>
        <family val="2"/>
        <scheme val="none"/>
      </font>
      <fill>
        <patternFill patternType="none">
          <fgColor indexed="64"/>
          <bgColor auto="1"/>
        </patternFill>
      </fill>
    </dxf>
    <dxf>
      <font>
        <strike val="0"/>
        <outline val="0"/>
        <shadow val="0"/>
        <u val="none"/>
        <vertAlign val="baseline"/>
        <sz val="12"/>
        <name val="Aptos"/>
        <family val="2"/>
        <scheme val="none"/>
      </font>
      <fill>
        <patternFill patternType="none">
          <fgColor indexed="64"/>
          <bgColor auto="1"/>
        </patternFill>
      </fill>
    </dxf>
    <dxf>
      <font>
        <strike val="0"/>
        <outline val="0"/>
        <shadow val="0"/>
        <u val="none"/>
        <vertAlign val="baseline"/>
        <sz val="12"/>
        <name val="Aptos"/>
        <family val="2"/>
        <scheme val="none"/>
      </font>
      <fill>
        <patternFill patternType="none">
          <fgColor indexed="64"/>
          <bgColor auto="1"/>
        </patternFill>
      </fill>
    </dxf>
    <dxf>
      <font>
        <strike val="0"/>
        <outline val="0"/>
        <shadow val="0"/>
        <u val="none"/>
        <vertAlign val="baseline"/>
        <sz val="12"/>
        <name val="Aptos"/>
        <family val="2"/>
        <scheme val="none"/>
      </font>
      <fill>
        <patternFill patternType="none">
          <fgColor indexed="64"/>
          <bgColor auto="1"/>
        </patternFill>
      </fill>
    </dxf>
    <dxf>
      <font>
        <strike val="0"/>
        <outline val="0"/>
        <shadow val="0"/>
        <u val="none"/>
        <vertAlign val="baseline"/>
        <sz val="12"/>
        <name val="Aptos"/>
        <family val="2"/>
        <scheme val="none"/>
      </font>
      <fill>
        <patternFill patternType="none">
          <fgColor indexed="64"/>
          <bgColor auto="1"/>
        </patternFill>
      </fill>
    </dxf>
    <dxf>
      <font>
        <strike val="0"/>
        <outline val="0"/>
        <shadow val="0"/>
        <u val="none"/>
        <vertAlign val="baseline"/>
        <sz val="12"/>
        <name val="Aptos"/>
        <family val="2"/>
        <scheme val="none"/>
      </font>
      <fill>
        <patternFill patternType="none">
          <fgColor indexed="64"/>
          <bgColor auto="1"/>
        </patternFill>
      </fill>
    </dxf>
    <dxf>
      <font>
        <strike val="0"/>
        <outline val="0"/>
        <shadow val="0"/>
        <u val="none"/>
        <vertAlign val="baseline"/>
        <sz val="12"/>
        <name val="Aptos"/>
        <family val="2"/>
        <scheme val="none"/>
      </font>
      <fill>
        <patternFill patternType="none">
          <fgColor indexed="64"/>
          <bgColor auto="1"/>
        </patternFill>
      </fill>
    </dxf>
    <dxf>
      <font>
        <strike val="0"/>
        <outline val="0"/>
        <shadow val="0"/>
        <u val="none"/>
        <vertAlign val="baseline"/>
        <sz val="12"/>
        <name val="Aptos"/>
        <family val="2"/>
        <scheme val="none"/>
      </font>
      <fill>
        <patternFill patternType="none">
          <fgColor indexed="64"/>
          <bgColor auto="1"/>
        </patternFill>
      </fill>
    </dxf>
    <dxf>
      <font>
        <strike val="0"/>
        <outline val="0"/>
        <shadow val="0"/>
        <u val="none"/>
        <vertAlign val="baseline"/>
        <sz val="12"/>
        <name val="Aptos"/>
        <family val="2"/>
        <scheme val="none"/>
      </font>
      <fill>
        <patternFill patternType="none">
          <fgColor indexed="64"/>
          <bgColor auto="1"/>
        </patternFill>
      </fill>
    </dxf>
    <dxf>
      <font>
        <strike val="0"/>
        <outline val="0"/>
        <shadow val="0"/>
        <u val="none"/>
        <vertAlign val="baseline"/>
        <sz val="12"/>
        <name val="Aptos"/>
        <family val="2"/>
        <scheme val="none"/>
      </font>
      <fill>
        <patternFill patternType="none">
          <fgColor indexed="64"/>
          <bgColor auto="1"/>
        </patternFill>
      </fill>
    </dxf>
    <dxf>
      <font>
        <b val="0"/>
        <i val="0"/>
        <strike val="0"/>
        <condense val="0"/>
        <extend val="0"/>
        <outline val="0"/>
        <shadow val="0"/>
        <u val="none"/>
        <vertAlign val="baseline"/>
        <sz val="12"/>
        <color rgb="FFF1B82D"/>
        <name val="Aptos"/>
        <family val="2"/>
        <scheme val="none"/>
      </font>
      <alignment horizontal="left" vertical="bottom" textRotation="0" wrapText="1" indent="0" justifyLastLine="0" shrinkToFit="0" readingOrder="0"/>
    </dxf>
    <dxf>
      <font>
        <strike val="0"/>
        <outline val="0"/>
        <shadow val="0"/>
        <u val="none"/>
        <vertAlign val="baseline"/>
        <sz val="12"/>
        <name val="Aptos"/>
        <family val="2"/>
        <scheme val="none"/>
      </font>
      <numFmt numFmtId="12" formatCode="&quot;$&quot;#,##0.00_);[Red]\(&quot;$&quot;#,##0.00\)"/>
    </dxf>
    <dxf>
      <font>
        <strike val="0"/>
        <outline val="0"/>
        <shadow val="0"/>
        <u val="none"/>
        <vertAlign val="baseline"/>
        <sz val="12"/>
        <name val="Aptos"/>
        <family val="2"/>
        <scheme val="none"/>
      </font>
      <numFmt numFmtId="12" formatCode="&quot;$&quot;#,##0.00_);[Red]\(&quot;$&quot;#,##0.00\)"/>
    </dxf>
    <dxf>
      <font>
        <strike val="0"/>
        <outline val="0"/>
        <shadow val="0"/>
        <u val="none"/>
        <vertAlign val="baseline"/>
        <sz val="12"/>
        <name val="Aptos"/>
        <family val="2"/>
        <scheme val="none"/>
      </font>
      <numFmt numFmtId="12" formatCode="&quot;$&quot;#,##0.00_);[Red]\(&quot;$&quot;#,##0.00\)"/>
    </dxf>
    <dxf>
      <font>
        <strike val="0"/>
        <outline val="0"/>
        <shadow val="0"/>
        <u val="none"/>
        <vertAlign val="baseline"/>
        <sz val="12"/>
        <name val="Aptos"/>
        <family val="2"/>
        <scheme val="none"/>
      </font>
      <numFmt numFmtId="168" formatCode="#,##0.000"/>
    </dxf>
    <dxf>
      <font>
        <b val="0"/>
        <i val="0"/>
        <strike val="0"/>
        <condense val="0"/>
        <extend val="0"/>
        <outline val="0"/>
        <shadow val="0"/>
        <u val="none"/>
        <vertAlign val="baseline"/>
        <sz val="12"/>
        <color auto="1"/>
        <name val="Aptos"/>
        <family val="2"/>
        <scheme val="none"/>
      </font>
      <numFmt numFmtId="35" formatCode="_(* #,##0.00_);_(* \(#,##0.00\);_(* &quot;-&quot;??_);_(@_)"/>
      <fill>
        <patternFill patternType="none">
          <fgColor indexed="64"/>
          <bgColor indexed="65"/>
        </patternFill>
      </fill>
    </dxf>
    <dxf>
      <font>
        <b val="0"/>
        <i val="0"/>
        <strike val="0"/>
        <condense val="0"/>
        <extend val="0"/>
        <outline val="0"/>
        <shadow val="0"/>
        <u val="none"/>
        <vertAlign val="baseline"/>
        <sz val="12"/>
        <color auto="1"/>
        <name val="Aptos"/>
        <family val="2"/>
        <scheme val="none"/>
      </font>
      <fill>
        <patternFill patternType="none">
          <fgColor indexed="64"/>
          <bgColor indexed="65"/>
        </patternFill>
      </fill>
    </dxf>
    <dxf>
      <font>
        <b val="0"/>
        <i val="0"/>
        <strike val="0"/>
        <condense val="0"/>
        <extend val="0"/>
        <outline val="0"/>
        <shadow val="0"/>
        <u val="none"/>
        <vertAlign val="baseline"/>
        <sz val="12"/>
        <color auto="1"/>
        <name val="Aptos"/>
        <family val="2"/>
        <scheme val="none"/>
      </font>
      <numFmt numFmtId="35" formatCode="_(* #,##0.00_);_(* \(#,##0.00\);_(* &quot;-&quot;??_);_(@_)"/>
      <fill>
        <patternFill patternType="none">
          <fgColor indexed="64"/>
          <bgColor indexed="65"/>
        </patternFill>
      </fill>
    </dxf>
    <dxf>
      <font>
        <b val="0"/>
        <i val="0"/>
        <strike val="0"/>
        <condense val="0"/>
        <extend val="0"/>
        <outline val="0"/>
        <shadow val="0"/>
        <u val="none"/>
        <vertAlign val="baseline"/>
        <sz val="12"/>
        <color auto="1"/>
        <name val="Aptos"/>
        <family val="2"/>
        <scheme val="none"/>
      </font>
      <numFmt numFmtId="35" formatCode="_(* #,##0.00_);_(* \(#,##0.00\);_(* &quot;-&quot;??_);_(@_)"/>
      <fill>
        <patternFill patternType="none">
          <fgColor indexed="64"/>
          <bgColor indexed="65"/>
        </patternFill>
      </fill>
    </dxf>
    <dxf>
      <font>
        <b val="0"/>
        <i val="0"/>
        <strike val="0"/>
        <condense val="0"/>
        <extend val="0"/>
        <outline val="0"/>
        <shadow val="0"/>
        <u val="none"/>
        <vertAlign val="baseline"/>
        <sz val="12"/>
        <color auto="1"/>
        <name val="Aptos"/>
        <family val="2"/>
        <scheme val="none"/>
      </font>
      <numFmt numFmtId="35" formatCode="_(* #,##0.00_);_(* \(#,##0.00\);_(* &quot;-&quot;??_);_(@_)"/>
      <fill>
        <patternFill patternType="none">
          <fgColor indexed="64"/>
          <bgColor indexed="65"/>
        </patternFill>
      </fill>
    </dxf>
    <dxf>
      <font>
        <b val="0"/>
        <i val="0"/>
        <strike val="0"/>
        <condense val="0"/>
        <extend val="0"/>
        <outline val="0"/>
        <shadow val="0"/>
        <u val="none"/>
        <vertAlign val="baseline"/>
        <sz val="12"/>
        <color auto="1"/>
        <name val="Aptos"/>
        <family val="2"/>
        <scheme val="none"/>
      </font>
      <fill>
        <patternFill patternType="none">
          <fgColor indexed="64"/>
          <bgColor indexed="65"/>
        </patternFill>
      </fill>
    </dxf>
    <dxf>
      <font>
        <b val="0"/>
        <i val="0"/>
        <strike val="0"/>
        <condense val="0"/>
        <extend val="0"/>
        <outline val="0"/>
        <shadow val="0"/>
        <u val="none"/>
        <vertAlign val="baseline"/>
        <sz val="12"/>
        <color auto="1"/>
        <name val="Aptos"/>
        <family val="2"/>
        <scheme val="none"/>
      </font>
      <numFmt numFmtId="35" formatCode="_(* #,##0.00_);_(* \(#,##0.00\);_(* &quot;-&quot;??_);_(@_)"/>
      <fill>
        <patternFill patternType="none">
          <fgColor indexed="64"/>
          <bgColor indexed="65"/>
        </patternFill>
      </fill>
    </dxf>
    <dxf>
      <font>
        <b val="0"/>
        <i val="0"/>
        <strike val="0"/>
        <condense val="0"/>
        <extend val="0"/>
        <outline val="0"/>
        <shadow val="0"/>
        <u val="none"/>
        <vertAlign val="baseline"/>
        <sz val="12"/>
        <color auto="1"/>
        <name val="Aptos"/>
        <family val="2"/>
        <scheme val="none"/>
      </font>
      <numFmt numFmtId="10" formatCode="&quot;$&quot;#,##0_);[Red]\(&quot;$&quot;#,##0\)"/>
      <fill>
        <patternFill patternType="none">
          <fgColor indexed="64"/>
          <bgColor indexed="65"/>
        </patternFill>
      </fill>
    </dxf>
    <dxf>
      <font>
        <b val="0"/>
        <i val="0"/>
        <strike val="0"/>
        <condense val="0"/>
        <extend val="0"/>
        <outline val="0"/>
        <shadow val="0"/>
        <u val="none"/>
        <vertAlign val="baseline"/>
        <sz val="12"/>
        <color auto="1"/>
        <name val="Aptos"/>
        <family val="2"/>
        <scheme val="none"/>
      </font>
      <numFmt numFmtId="166" formatCode="0.0%"/>
      <fill>
        <patternFill patternType="none">
          <fgColor indexed="64"/>
          <bgColor indexed="65"/>
        </patternFill>
      </fill>
      <protection locked="0" hidden="0"/>
    </dxf>
    <dxf>
      <font>
        <b val="0"/>
        <i val="0"/>
        <strike val="0"/>
        <condense val="0"/>
        <extend val="0"/>
        <outline val="0"/>
        <shadow val="0"/>
        <u val="none"/>
        <vertAlign val="baseline"/>
        <sz val="12"/>
        <color auto="1"/>
        <name val="Aptos"/>
        <family val="2"/>
        <scheme val="none"/>
      </font>
      <fill>
        <patternFill patternType="solid">
          <fgColor indexed="64"/>
          <bgColor theme="2"/>
        </patternFill>
      </fill>
      <protection locked="0" hidden="0"/>
    </dxf>
    <dxf>
      <font>
        <b val="0"/>
        <i val="0"/>
        <strike val="0"/>
        <condense val="0"/>
        <extend val="0"/>
        <outline val="0"/>
        <shadow val="0"/>
        <u val="none"/>
        <vertAlign val="baseline"/>
        <sz val="12"/>
        <color auto="1"/>
        <name val="Aptos"/>
        <family val="2"/>
        <scheme val="none"/>
      </font>
      <fill>
        <patternFill patternType="solid">
          <fgColor indexed="64"/>
          <bgColor theme="2"/>
        </patternFill>
      </fill>
      <protection locked="0" hidden="0"/>
    </dxf>
    <dxf>
      <font>
        <b val="0"/>
        <i val="0"/>
        <strike val="0"/>
        <condense val="0"/>
        <extend val="0"/>
        <outline val="0"/>
        <shadow val="0"/>
        <u val="none"/>
        <vertAlign val="baseline"/>
        <sz val="12"/>
        <color auto="1"/>
        <name val="Aptos"/>
        <family val="2"/>
        <scheme val="none"/>
      </font>
      <fill>
        <patternFill patternType="solid">
          <fgColor indexed="64"/>
          <bgColor theme="2"/>
        </patternFill>
      </fill>
      <protection locked="0" hidden="0"/>
    </dxf>
    <dxf>
      <font>
        <b val="0"/>
        <i val="0"/>
        <strike val="0"/>
        <condense val="0"/>
        <extend val="0"/>
        <outline val="0"/>
        <shadow val="0"/>
        <u val="none"/>
        <vertAlign val="baseline"/>
        <sz val="12"/>
        <color auto="1"/>
        <name val="Aptos"/>
        <family val="2"/>
        <scheme val="none"/>
      </font>
      <fill>
        <patternFill patternType="solid">
          <fgColor indexed="64"/>
          <bgColor theme="2"/>
        </patternFill>
      </fill>
      <protection locked="0" hidden="0"/>
    </dxf>
    <dxf>
      <font>
        <b val="0"/>
        <i val="0"/>
        <strike val="0"/>
        <condense val="0"/>
        <extend val="0"/>
        <outline val="0"/>
        <shadow val="0"/>
        <u val="none"/>
        <vertAlign val="baseline"/>
        <sz val="12"/>
        <color auto="1"/>
        <name val="Aptos"/>
        <family val="2"/>
        <scheme val="none"/>
      </font>
      <fill>
        <patternFill patternType="solid">
          <fgColor indexed="64"/>
          <bgColor theme="2"/>
        </patternFill>
      </fill>
      <protection locked="0" hidden="0"/>
    </dxf>
    <dxf>
      <font>
        <b val="0"/>
        <i val="0"/>
        <strike val="0"/>
        <condense val="0"/>
        <extend val="0"/>
        <outline val="0"/>
        <shadow val="0"/>
        <u val="none"/>
        <vertAlign val="baseline"/>
        <sz val="12"/>
        <color auto="1"/>
        <name val="Aptos"/>
        <family val="2"/>
        <scheme val="none"/>
      </font>
      <numFmt numFmtId="167" formatCode="_(* #,##0_);_(* \(#,##0\);_(* &quot;-&quot;??_);_(@_)"/>
      <fill>
        <patternFill patternType="solid">
          <fgColor indexed="64"/>
          <bgColor theme="2"/>
        </patternFill>
      </fill>
      <protection locked="1" hidden="0"/>
    </dxf>
    <dxf>
      <font>
        <b val="0"/>
        <i val="0"/>
        <strike val="0"/>
        <condense val="0"/>
        <extend val="0"/>
        <outline val="0"/>
        <shadow val="0"/>
        <u val="none"/>
        <vertAlign val="baseline"/>
        <sz val="12"/>
        <color auto="1"/>
        <name val="Aptos"/>
        <family val="2"/>
        <scheme val="none"/>
      </font>
      <numFmt numFmtId="167" formatCode="_(* #,##0_);_(* \(#,##0\);_(* &quot;-&quot;??_);_(@_)"/>
      <fill>
        <patternFill patternType="none">
          <fgColor indexed="64"/>
          <bgColor auto="1"/>
        </patternFill>
      </fill>
      <protection locked="1" hidden="0"/>
    </dxf>
    <dxf>
      <font>
        <b val="0"/>
        <i val="0"/>
        <strike val="0"/>
        <condense val="0"/>
        <extend val="0"/>
        <outline val="0"/>
        <shadow val="0"/>
        <u val="none"/>
        <vertAlign val="baseline"/>
        <sz val="12"/>
        <color auto="1"/>
        <name val="Aptos"/>
        <family val="2"/>
        <scheme val="none"/>
      </font>
      <fill>
        <patternFill patternType="solid">
          <fgColor indexed="64"/>
          <bgColor theme="2"/>
        </patternFill>
      </fill>
      <protection locked="0" hidden="0"/>
    </dxf>
    <dxf>
      <font>
        <b val="0"/>
        <i val="0"/>
        <strike val="0"/>
        <condense val="0"/>
        <extend val="0"/>
        <outline val="0"/>
        <shadow val="0"/>
        <u val="none"/>
        <vertAlign val="baseline"/>
        <sz val="12"/>
        <color auto="1"/>
        <name val="Aptos"/>
        <family val="2"/>
        <scheme val="none"/>
      </font>
      <fill>
        <patternFill patternType="none">
          <fgColor indexed="64"/>
          <bgColor auto="1"/>
        </patternFill>
      </fill>
      <protection locked="0" hidden="0"/>
    </dxf>
    <dxf>
      <font>
        <b val="0"/>
        <i val="0"/>
        <strike val="0"/>
        <condense val="0"/>
        <extend val="0"/>
        <outline val="0"/>
        <shadow val="0"/>
        <u val="none"/>
        <vertAlign val="baseline"/>
        <sz val="12"/>
        <color auto="1"/>
        <name val="Aptos"/>
        <family val="2"/>
        <scheme val="none"/>
      </font>
      <numFmt numFmtId="3" formatCode="#,##0"/>
      <fill>
        <patternFill patternType="none">
          <fgColor indexed="64"/>
          <bgColor auto="1"/>
        </patternFill>
      </fill>
    </dxf>
    <dxf>
      <font>
        <b val="0"/>
        <i val="0"/>
        <strike val="0"/>
        <condense val="0"/>
        <extend val="0"/>
        <outline val="0"/>
        <shadow val="0"/>
        <u val="none"/>
        <vertAlign val="baseline"/>
        <sz val="12"/>
        <color auto="1"/>
        <name val="Aptos"/>
        <family val="2"/>
        <scheme val="none"/>
      </font>
      <fill>
        <patternFill patternType="solid">
          <fgColor indexed="64"/>
          <bgColor theme="2"/>
        </patternFill>
      </fill>
      <protection locked="0" hidden="0"/>
    </dxf>
    <dxf>
      <font>
        <b val="0"/>
        <i val="0"/>
        <strike val="0"/>
        <condense val="0"/>
        <extend val="0"/>
        <outline val="0"/>
        <shadow val="0"/>
        <u val="none"/>
        <vertAlign val="baseline"/>
        <sz val="12"/>
        <color auto="1"/>
        <name val="Aptos"/>
        <family val="2"/>
        <scheme val="none"/>
      </font>
      <numFmt numFmtId="167" formatCode="_(* #,##0_);_(* \(#,##0\);_(* &quot;-&quot;??_);_(@_)"/>
      <fill>
        <patternFill patternType="solid">
          <fgColor indexed="64"/>
          <bgColor theme="2"/>
        </patternFill>
      </fill>
      <protection locked="0" hidden="0"/>
    </dxf>
    <dxf>
      <font>
        <b val="0"/>
        <i val="0"/>
        <strike val="0"/>
        <condense val="0"/>
        <extend val="0"/>
        <outline val="0"/>
        <shadow val="0"/>
        <u val="none"/>
        <vertAlign val="baseline"/>
        <sz val="12"/>
        <color auto="1"/>
        <name val="Aptos"/>
        <family val="2"/>
        <scheme val="none"/>
      </font>
      <fill>
        <patternFill patternType="solid">
          <fgColor indexed="64"/>
          <bgColor theme="2"/>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ptos"/>
        <family val="2"/>
        <scheme val="none"/>
      </font>
      <fill>
        <patternFill patternType="solid">
          <fgColor indexed="64"/>
          <bgColor theme="2"/>
        </patternFill>
      </fill>
      <protection locked="0" hidden="0"/>
    </dxf>
    <dxf>
      <font>
        <b val="0"/>
        <i val="0"/>
        <strike val="0"/>
        <condense val="0"/>
        <extend val="0"/>
        <outline val="0"/>
        <shadow val="0"/>
        <u val="none"/>
        <vertAlign val="baseline"/>
        <sz val="12"/>
        <color auto="1"/>
        <name val="Aptos"/>
        <family val="2"/>
        <scheme val="none"/>
      </font>
      <fill>
        <patternFill patternType="solid">
          <fgColor indexed="64"/>
          <bgColor theme="2"/>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ptos"/>
        <family val="2"/>
        <scheme val="none"/>
      </font>
      <fill>
        <patternFill patternType="solid">
          <fgColor indexed="64"/>
          <bgColor theme="2"/>
        </patternFill>
      </fill>
      <protection locked="0" hidden="0"/>
    </dxf>
    <dxf>
      <font>
        <b val="0"/>
        <i val="0"/>
        <strike val="0"/>
        <condense val="0"/>
        <extend val="0"/>
        <outline val="0"/>
        <shadow val="0"/>
        <u val="none"/>
        <vertAlign val="baseline"/>
        <sz val="12"/>
        <color auto="1"/>
        <name val="Aptos"/>
        <family val="2"/>
        <scheme val="none"/>
      </font>
      <fill>
        <patternFill patternType="solid">
          <fgColor indexed="64"/>
          <bgColor theme="2"/>
        </patternFill>
      </fill>
      <alignment horizontal="left" vertical="bottom" textRotation="0" wrapText="0" indent="0" justifyLastLine="0" shrinkToFit="0" readingOrder="0"/>
      <protection locked="0" hidden="0"/>
    </dxf>
    <dxf>
      <font>
        <strike val="0"/>
        <outline val="0"/>
        <shadow val="0"/>
        <u val="none"/>
        <vertAlign val="baseline"/>
        <sz val="12"/>
        <name val="Aptos"/>
        <family val="2"/>
        <scheme val="none"/>
      </font>
      <numFmt numFmtId="0" formatCode="General"/>
    </dxf>
    <dxf>
      <font>
        <strike val="0"/>
        <outline val="0"/>
        <shadow val="0"/>
        <u val="none"/>
        <vertAlign val="baseline"/>
        <sz val="12"/>
        <name val="Aptos"/>
        <family val="2"/>
        <scheme val="none"/>
      </font>
    </dxf>
    <dxf>
      <font>
        <b val="0"/>
        <i val="0"/>
        <strike val="0"/>
        <condense val="0"/>
        <extend val="0"/>
        <outline val="0"/>
        <shadow val="0"/>
        <u val="none"/>
        <vertAlign val="baseline"/>
        <sz val="12"/>
        <color rgb="FFFFC000"/>
        <name val="Aptos"/>
        <family val="2"/>
        <scheme val="none"/>
      </font>
      <fill>
        <patternFill patternType="solid">
          <fgColor indexed="64"/>
          <bgColor theme="1"/>
        </patternFill>
      </fill>
      <alignment horizontal="general" vertical="bottom" textRotation="0" wrapText="1" indent="0" justifyLastLine="0" shrinkToFit="0" readingOrder="0"/>
    </dxf>
  </dxfs>
  <tableStyles count="0" defaultTableStyle="TableStyleMedium2" defaultPivotStyle="PivotStyleLight16"/>
  <colors>
    <mruColors>
      <color rgb="FFE7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2809875</xdr:colOff>
      <xdr:row>6</xdr:row>
      <xdr:rowOff>35275</xdr:rowOff>
    </xdr:from>
    <xdr:to>
      <xdr:col>2</xdr:col>
      <xdr:colOff>5102225</xdr:colOff>
      <xdr:row>9</xdr:row>
      <xdr:rowOff>124400</xdr:rowOff>
    </xdr:to>
    <xdr:pic>
      <xdr:nvPicPr>
        <xdr:cNvPr id="3" name="Picture 2">
          <a:extLst>
            <a:ext uri="{FF2B5EF4-FFF2-40B4-BE49-F238E27FC236}">
              <a16:creationId xmlns:a16="http://schemas.microsoft.com/office/drawing/2014/main" id="{5A143034-9214-47E2-8403-36CB245A5F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95700" y="1359250"/>
          <a:ext cx="2292350" cy="71777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Kientzy, Andrew" id="{8354E9E0-0454-4478-A700-A770DFAFAA90}" userId="S::dskvnq@umsystem.edu::a3cafd4d-1261-4059-a3b4-924fe5b6a59e"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139FB3F6-5E9E-40C1-9838-C337636F43BF}" name="Implements712" displayName="Implements712" ref="B5:AF121" totalsRowShown="0" headerRowDxfId="136" dataDxfId="135">
  <autoFilter ref="B5:AF121" xr:uid="{139FB3F6-5E9E-40C1-9838-C337636F43BF}"/>
  <sortState xmlns:xlrd2="http://schemas.microsoft.com/office/spreadsheetml/2017/richdata2" ref="B6:AF121">
    <sortCondition ref="AF5:AF121"/>
  </sortState>
  <tableColumns count="31">
    <tableColumn id="2" xr3:uid="{439F0B79-53F4-4974-83A2-3E35213D7CF2}" name="Selection" dataDxfId="134">
      <calculatedColumnFormula>Implements712[[#This Row],[Implement type]]&amp;", "&amp;Implements712[[#This Row],[Width]]&amp;" "&amp;Implements712[[#This Row],[Width Unit]]</calculatedColumnFormula>
    </tableColumn>
    <tableColumn id="3" xr3:uid="{07772950-A305-4199-82EA-8167438ABF6D}" name="Implement type" dataDxfId="133"/>
    <tableColumn id="4" xr3:uid="{4DACD782-8983-4694-B301-F2AFCBA111B3}" name="Width" dataDxfId="132"/>
    <tableColumn id="5" xr3:uid="{FF540314-063C-45A9-9E2D-5BC3923E4B55}" name="Width Unit" dataDxfId="131"/>
    <tableColumn id="6" xr3:uid="{40FF00FC-1A8D-4736-B21E-45FB0DBD8AE7}" name="Size" dataDxfId="130"/>
    <tableColumn id="7" xr3:uid="{BB7FC7C7-6567-4449-84B5-0AEAB01CB2C1}" name="Size unit" dataDxfId="129"/>
    <tableColumn id="9" xr3:uid="{F7523C71-B268-4293-9978-495F8A37CEF3}" name="PriceP" dataDxfId="128" dataCellStyle="Comma"/>
    <tableColumn id="10" xr3:uid="{99448A2F-4024-4DB0-B9C5-C4D59AADCD32}" name="Discount" dataDxfId="127" dataCellStyle="Percent"/>
    <tableColumn id="11" xr3:uid="{E8CE0B7F-D0F9-4BF1-9BA6-13911645AA07}" name="PriceL" dataDxfId="126">
      <calculatedColumnFormula>H6/(1-I6)</calculatedColumnFormula>
    </tableColumn>
    <tableColumn id="12" xr3:uid="{3C824E0C-A877-438A-ACBF-1CFB9440B117}" name="Life (yr)" dataDxfId="125">
      <calculatedColumnFormula>VLOOKUP(Implements712[[#This Row],[ASABEtype]],ASABECoefficients813[],4,FALSE)/Implements712[[#This Row],[Use (hr/yr)]]</calculatedColumnFormula>
    </tableColumn>
    <tableColumn id="13" xr3:uid="{1A6FF41B-9821-4390-9F27-5B55C42398DF}" name="Use (hr/yr)" dataDxfId="124"/>
    <tableColumn id="14" xr3:uid="{44566049-6E61-4B5C-913A-633BE39D7680}" name="Use (ac/yr)" dataDxfId="123" dataCellStyle="Comma">
      <calculatedColumnFormula>IF(Implements712[[#This Row],[Use basis]]="hour",,L6*(D6*P6*Q6)/8.25)</calculatedColumnFormula>
    </tableColumn>
    <tableColumn id="35" xr3:uid="{B30CC9F1-C4D4-4FB7-8DC9-B49805DED6E4}" name="Use basis" dataDxfId="122" dataCellStyle="Comma"/>
    <tableColumn id="15" xr3:uid="{E340C481-50E0-4760-BFE3-E6571EBE13A3}" name="ASABEtype" dataDxfId="121"/>
    <tableColumn id="16" xr3:uid="{70C362DB-7795-4294-A585-A9D0E941B57C}" name="Speed" dataDxfId="120"/>
    <tableColumn id="17" xr3:uid="{E9378823-0CA5-4BD9-8F92-AD1B4B356E15}" name="Efficiency" dataDxfId="119" dataCellStyle="Percent"/>
    <tableColumn id="19" xr3:uid="{B13D54CD-5029-4AB1-B429-139F72F72807}" name="LaborUse" dataDxfId="118" dataCellStyle="Percent"/>
    <tableColumn id="22" xr3:uid="{AF1C4DE7-F9C3-482F-AF2D-03AD656AF1E0}" name="Shed (ft^2)" dataDxfId="117"/>
    <tableColumn id="23" xr3:uid="{1FF87DCD-3298-4DB4-9843-70CB64624D76}" name="TradeIn%" dataDxfId="116" dataCellStyle="Comma">
      <calculatedColumnFormula>(VLOOKUP(Implements712[[#This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calculatedColumnFormula>
    </tableColumn>
    <tableColumn id="24" xr3:uid="{59E9DBC7-4833-44EA-A572-86B04D7CE8B8}" name="TradeIn$" dataDxfId="115" dataCellStyle="Comma">
      <calculatedColumnFormula>Implements712[[#This Row],[TradeIn%]]*Implements712[[#This Row],[PriceL]]</calculatedColumnFormula>
    </tableColumn>
    <tableColumn id="31" xr3:uid="{E9741B73-DB7D-4D69-9ABF-661DC47F2673}" name="Depr ($/hr)" dataDxfId="114" dataCellStyle="Comma">
      <calculatedColumnFormula>(Implements712[[#This Row],[PriceP]]-Implements712[[#This Row],[TradeIn$]])/Implements712[[#This Row],[Life (yr)]]/Implements712[[#This Row],[Use (hr/yr)]]</calculatedColumnFormula>
    </tableColumn>
    <tableColumn id="32" xr3:uid="{37754FA4-9DD7-490B-8467-4813BDA82934}" name="OH ($/hr)" dataDxfId="113" dataCellStyle="Comma">
      <calculatedColumnFormula>((Implements712[[#This Row],[PriceP]]+Implements712[[#This Row],[TradeIn$]])/2*($BP$7+$BP$8+$BP$9)+Implements712[[#This Row],[Shed (ft^2)]]*$BP$12)/Implements712[[#This Row],[Use (hr/yr)]]</calculatedColumnFormula>
    </tableColumn>
    <tableColumn id="33" xr3:uid="{530A8342-69CC-4216-BD84-74241257467D}" name="Rep ($/hr)" dataDxfId="112" dataCellStyle="Comma">
      <calculatedColumnFormula>Implements712[[#This Row],[PriceL]]*(VLOOKUP(Implements712[[#This Row],[ASABEtype]],$BC$6:$BM$52,2)*(Implements712[[#This Row],[Life (yr)]]*Implements712[[#This Row],[Use (hr/yr)]]/1000)^VLOOKUP(Implements712[[#This Row],[ASABEtype]],$BC$6:$BM$52,3))/Implements712[[#This Row],[Life (yr)]]/Implements712[[#This Row],[Use (hr/yr)]]</calculatedColumnFormula>
    </tableColumn>
    <tableColumn id="34" xr3:uid="{84479DD1-6501-4D3A-9420-9E66E2BBCB15}" name="Ownership costs ($/hr)" dataDxfId="111" dataCellStyle="Comma">
      <calculatedColumnFormula>Implements712[[#This Row],[Depr ($/hr)]]+Implements712[[#This Row],[OH ($/hr)]]</calculatedColumnFormula>
    </tableColumn>
    <tableColumn id="25" xr3:uid="{1F84FE63-0536-464D-97DF-8EF63701577E}" name="Depr ($/ac)2" dataDxfId="110" dataCellStyle="Comma">
      <calculatedColumnFormula>(Implements712[[#This Row],[PriceP]]-Implements712[[#This Row],[TradeIn$]])/Implements712[[#This Row],[Life (yr)]]/Implements712[[#This Row],[Use (ac/yr)]]</calculatedColumnFormula>
    </tableColumn>
    <tableColumn id="26" xr3:uid="{4EE7DC5A-27DD-4155-94FD-04CCB70353ED}" name="OH ($/ac)" dataDxfId="109" dataCellStyle="Comma">
      <calculatedColumnFormula>((Implements712[[#This Row],[PriceP]]+Implements712[[#This Row],[TradeIn$]])/2*($BP$7+$BP$8+$BP$9)+Implements712[[#This Row],[Shed (ft^2)]]*$BP$12)/Implements712[[#This Row],[Use (ac/yr)]]</calculatedColumnFormula>
    </tableColumn>
    <tableColumn id="27" xr3:uid="{8CB39858-BD26-41C8-A33B-94123088C111}" name="Rep ($/ac)4" dataDxfId="108" dataCellStyle="Currency">
      <calculatedColumnFormula>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calculatedColumnFormula>
    </tableColumn>
    <tableColumn id="8" xr3:uid="{793B7DD2-524F-42FF-89AD-FDC7577C93EC}" name="hr/ac" dataDxfId="107">
      <calculatedColumnFormula>IF(Implements712[[#This Row],[Use basis]]="hour","-",$BP$18/(Implements712[[#This Row],[Width]]*Implements712[[#This Row],[Speed]]*Implements712[[#This Row],[Efficiency]]))</calculatedColumnFormula>
    </tableColumn>
    <tableColumn id="1" xr3:uid="{1544D888-9364-4E40-8683-875E714EDC5B}" name="Ownership costs($/ac)" dataDxfId="106">
      <calculatedColumnFormula>IF(Implements712[[#This Row],[Use basis]]=$N$128,Implements712[[#This Row],[Ownership costs ($/hr)]],SUM(Implements712[[#This Row],[Depr ($/ac)2]:[OH ($/ac)]]))</calculatedColumnFormula>
    </tableColumn>
    <tableColumn id="18" xr3:uid="{460F6B22-FE8D-4A0F-A23F-2F21288B9346}" name="Order in Lazarus" dataDxfId="105"/>
    <tableColumn id="21" xr3:uid="{84951872-50A3-4C38-BB6C-76560639CDC6}" name="Operation type" dataDxfId="104"/>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F755E653-EA67-4D0B-B7EF-F4059945A1AE}" name="ASABECoefficients813" displayName="ASABECoefficients813" ref="BC5:BM52" totalsRowShown="0" headerRowDxfId="103" dataDxfId="102">
  <autoFilter ref="BC5:BM52" xr:uid="{F755E653-EA67-4D0B-B7EF-F4059945A1AE}"/>
  <sortState xmlns:xlrd2="http://schemas.microsoft.com/office/spreadsheetml/2017/richdata2" ref="BC6:BM52">
    <sortCondition ref="BC6:BC53"/>
  </sortState>
  <tableColumns count="11">
    <tableColumn id="5" xr3:uid="{4E4C676B-5972-493E-A740-26B17976AF4A}" name="ASABE Category" dataDxfId="101"/>
    <tableColumn id="6" xr3:uid="{FE97FCF8-4F88-46A2-AB74-F2ECE607ABDE}" name="RF1" dataDxfId="100"/>
    <tableColumn id="7" xr3:uid="{98CB6968-168C-4438-81AE-6752A03FA970}" name="RF2" dataDxfId="99"/>
    <tableColumn id="8" xr3:uid="{F2A4184A-A616-49CC-96C1-B66E5C428E39}" name="Life (hr)" dataDxfId="98"/>
    <tableColumn id="9" xr3:uid="{381E2A6F-2CD0-42FC-BD24-A839F40B14DB}" name="RV1" dataDxfId="97"/>
    <tableColumn id="10" xr3:uid="{66254E35-1949-4417-9BF5-AA606AE2ECBC}" name="RV2" dataDxfId="96"/>
    <tableColumn id="11" xr3:uid="{AFA188D9-F967-4CD9-B3C0-777207723EA0}" name="RV3" dataDxfId="95"/>
    <tableColumn id="12" xr3:uid="{F9E16233-16A9-4C3D-9B08-6F11323AE5D5}" name="RV4" dataDxfId="94"/>
    <tableColumn id="14" xr3:uid="{6AFE0058-3D66-49A5-8D68-89D33569B24C}" name="δ2" dataDxfId="93"/>
    <tableColumn id="1" xr3:uid="{849E6DB6-CE39-42F8-8CCD-00A76CB4C1A3}" name="δ" dataDxfId="92"/>
    <tableColumn id="2" xr3:uid="{8884D966-6A3B-4040-9A33-FE41BCC1541A}" name="Note" dataDxfId="91"/>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53DBD40A-1426-43DB-9ECE-2B16949526D3}" name="Power2025914" displayName="Power2025914" ref="AH5:BA32" totalsRowShown="0" headerRowDxfId="90" dataDxfId="89">
  <autoFilter ref="AH5:BA32" xr:uid="{53DBD40A-1426-43DB-9ECE-2B16949526D3}"/>
  <tableColumns count="20">
    <tableColumn id="1" xr3:uid="{C317CD2C-F15A-4C7C-AC60-F6E32B7176C5}" name="HP &amp; descriptive information" dataDxfId="88">
      <calculatedColumnFormula>CONCATENATE(AI6&amp;" "&amp;AJ6)</calculatedColumnFormula>
    </tableColumn>
    <tableColumn id="2" xr3:uid="{E2701F90-79CF-4EF7-9A1A-4F3D064D792C}" name="HP" dataDxfId="87"/>
    <tableColumn id="3" xr3:uid="{09ABEA1A-E7CD-4B0E-897A-D262E454660E}" name="Information" dataDxfId="86"/>
    <tableColumn id="4" xr3:uid="{4BC84B92-82BB-42B9-9DA2-2C4214713C81}" name="PriceP" dataDxfId="85" dataCellStyle="Comma"/>
    <tableColumn id="5" xr3:uid="{95453BEF-E147-4F2F-AB8D-08885F74015F}" name="Discount" dataDxfId="84" dataCellStyle="Percent"/>
    <tableColumn id="6" xr3:uid="{0CD5DE5C-0CF4-4BF1-A5C1-9EB0A2E63D61}" name="PriceL" dataDxfId="83">
      <calculatedColumnFormula>AK6/(1-AL6)</calculatedColumnFormula>
    </tableColumn>
    <tableColumn id="19" xr3:uid="{5FBBE3E4-C2DF-4489-8CEF-8515CEB024D9}" name="Lifespan (hours)" dataDxfId="82"/>
    <tableColumn id="20" xr3:uid="{3C868FC6-5069-4C02-8439-53294E41D75B}" name="Life used (%)" dataDxfId="81" dataCellStyle="Percent"/>
    <tableColumn id="7" xr3:uid="{F005DCFE-FEA2-490E-A51E-2CB980C9DC14}" name="Life (yr)" dataDxfId="80">
      <calculatedColumnFormula>Power2025914[[#This Row],[Lifespan (hours)]]/Power2025914[[#This Row],[Use (hr/yr)]]</calculatedColumnFormula>
    </tableColumn>
    <tableColumn id="8" xr3:uid="{82A18EE5-DDF8-414A-8580-FB6515BDF0D3}" name="Use (hr/yr)" dataDxfId="79"/>
    <tableColumn id="9" xr3:uid="{212A768E-DFE7-4494-AB79-488C08A4C39E}" name="Fuel (gal/hph)" dataDxfId="78"/>
    <tableColumn id="10" xr3:uid="{91BD0A62-DEB2-420A-80D2-94DF63270103}" name="ASABEtype" dataDxfId="77"/>
    <tableColumn id="11" xr3:uid="{77ADE2A0-DF9E-4D80-9ECA-E215D0AAFD79}" name="Shed (ft^2)" dataDxfId="76"/>
    <tableColumn id="13" xr3:uid="{FDCBDEC3-4C6C-477E-8F1D-268B1C3A18E4}" name="TradeIn%" dataDxfId="75"/>
    <tableColumn id="14" xr3:uid="{83EF1ADC-B263-4E16-8B38-9F8966203B63}" name="TradeIn$" dataDxfId="74">
      <calculatedColumnFormula>Power2025914[[#This Row],[TradeIn%]]*Power2025914[[#This Row],[PriceL]]</calculatedColumnFormula>
    </tableColumn>
    <tableColumn id="15" xr3:uid="{95DCCF49-8A4C-4EF1-B309-7C4CA195C68B}" name="Depr ($/hr)" dataDxfId="73">
      <calculatedColumnFormula>(Power2025914[[#This Row],[PriceP]]-Power2025914[[#This Row],[TradeIn$]])/Power2025914[[#This Row],[Life (yr)]]/Power2025914[[#This Row],[Use (hr/yr)]]</calculatedColumnFormula>
    </tableColumn>
    <tableColumn id="16" xr3:uid="{DBCC401C-937E-4587-A51E-0DFEB13C8B3D}" name="OH ($/hr)" dataDxfId="72">
      <calculatedColumnFormula>((Power2025914[[#This Row],[PriceP]]+Power2025914[[#This Row],[TradeIn$]])*($BH$8+$BH$9+$BH$10)+Power2025914[[#This Row],[Shed (ft^2)]]*$BH$13)/Power2025914[[#This Row],[Use (hr/yr)]]</calculatedColumnFormula>
    </tableColumn>
    <tableColumn id="17" xr3:uid="{49E2B9AE-FF4D-4840-98A2-CFEAB1A7CA5B}" name="Rep ($/hr)" dataDxfId="71"/>
    <tableColumn id="18" xr3:uid="{FFD99378-F2FC-46D2-9E5D-85463366CC48}" name="Fuel (gal/hr)" dataDxfId="70">
      <calculatedColumnFormula>Power2025914[[#This Row],[Fuel (gal/hph)]]*Power2025914[[#This Row],[HP]]</calculatedColumnFormula>
    </tableColumn>
    <tableColumn id="12" xr3:uid="{0C85F286-EE9C-450F-A891-AC97913FE677}" name="Ownership costs ($/hr)" dataDxfId="69">
      <calculatedColumnFormula>SUM(AW6:AX6)</calculatedColumnFormula>
    </tableColumn>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38539837-54C8-4E44-B70C-CBF538BDED39}" name="Prices1015" displayName="Prices1015" ref="BO5:BP18" totalsRowShown="0" headerRowDxfId="68" dataDxfId="67">
  <autoFilter ref="BO5:BP18" xr:uid="{38539837-54C8-4E44-B70C-CBF538BDED39}"/>
  <tableColumns count="2">
    <tableColumn id="1" xr3:uid="{C390F7A7-6259-4134-A73A-58B57A59D798}" name="Item" dataDxfId="66"/>
    <tableColumn id="2" xr3:uid="{326E0B3B-D25C-4191-AF97-85BF4D4A6AE5}" name="Value" dataDxfId="65"/>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7F10A371-2B96-4FCA-B492-8D4CC6CF4075}" name="Table4216" displayName="Table4216" ref="C132:E183" totalsRowShown="0" headerRowDxfId="64" dataDxfId="63">
  <autoFilter ref="C132:E183" xr:uid="{7F10A371-2B96-4FCA-B492-8D4CC6CF4075}"/>
  <tableColumns count="3">
    <tableColumn id="1" xr3:uid="{32A574E5-D8F7-4D34-8F80-EE907A96E61F}" name="Activity" dataDxfId="62"/>
    <tableColumn id="2" xr3:uid="{8F7B12B0-389C-41C8-A3AE-EEB8208A1E9D}" name="Avg. cost/unit" dataDxfId="61"/>
    <tableColumn id="3" xr3:uid="{0973CDE0-9FE0-4B53-BC33-F2E408E25C23}" name="Unit" dataDxfId="6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ustom 12">
      <a:majorFont>
        <a:latin typeface="Segoe UI Black"/>
        <a:ea typeface=""/>
        <a:cs typeface=""/>
      </a:majorFont>
      <a:minorFont>
        <a:latin typeface="Segoe U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W5" dT="2025-08-11T17:31:35.18" personId="{8354E9E0-0454-4478-A700-A770DFAFAA90}" id="{E9F01EA4-58BD-4CFB-8A01-B4C67DD30E04}">
    <text>OH=Overhead
Overhead is the sum of interest, insurance, housing, and taxes.</text>
  </threadedComment>
  <threadedComment ref="AA5" dT="2025-08-11T17:32:51.73" personId="{8354E9E0-0454-4478-A700-A770DFAFAA90}" id="{2C19CB44-6E5A-4467-A27E-2BDB978CBC16}">
    <text xml:space="preserve">OH=Overhead
Overhead is the sum of interest, insurance, housing, and taxes.
</text>
  </threadedComment>
  <threadedComment ref="AX5" dT="2025-08-11T17:33:05.92" personId="{8354E9E0-0454-4478-A700-A770DFAFAA90}" id="{642015BE-30A9-4A9C-A66B-03D40F043681}">
    <text xml:space="preserve">OH=Overhead
Overhead is the sum of interest, insurance, housing, and taxes.
</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extension.missouri.edu/publications/g698" TargetMode="External"/><Relationship Id="rId3" Type="http://schemas.openxmlformats.org/officeDocument/2006/relationships/hyperlink" Target="https://extension.missouri.edu/publications/g659" TargetMode="External"/><Relationship Id="rId7" Type="http://schemas.openxmlformats.org/officeDocument/2006/relationships/hyperlink" Target="https://extension.missouri.edu/publications/g697" TargetMode="External"/><Relationship Id="rId2" Type="http://schemas.openxmlformats.org/officeDocument/2006/relationships/hyperlink" Target="https://extension.missouri.edu/publications/g658" TargetMode="External"/><Relationship Id="rId1" Type="http://schemas.openxmlformats.org/officeDocument/2006/relationships/hyperlink" Target="https://extension.missouri.edu/publications/g657" TargetMode="External"/><Relationship Id="rId6" Type="http://schemas.openxmlformats.org/officeDocument/2006/relationships/hyperlink" Target="https://extension.missouri.edu/publications/g696" TargetMode="External"/><Relationship Id="rId5" Type="http://schemas.openxmlformats.org/officeDocument/2006/relationships/hyperlink" Target="https://extension.missouri.edu/publications/g674" TargetMode="External"/><Relationship Id="rId10" Type="http://schemas.openxmlformats.org/officeDocument/2006/relationships/drawing" Target="../drawings/drawing1.xml"/><Relationship Id="rId4" Type="http://schemas.openxmlformats.org/officeDocument/2006/relationships/hyperlink" Target="https://extension.missouri.edu/publications/g660" TargetMode="External"/><Relationship Id="rId9" Type="http://schemas.openxmlformats.org/officeDocument/2006/relationships/hyperlink" Target="https://extension.missouri.edu/publications/g699"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table" Target="../tables/table5.xml"/><Relationship Id="rId3" Type="http://schemas.openxmlformats.org/officeDocument/2006/relationships/vmlDrawing" Target="../drawings/vmlDrawing1.vml"/><Relationship Id="rId7" Type="http://schemas.openxmlformats.org/officeDocument/2006/relationships/table" Target="../tables/table4.xml"/><Relationship Id="rId2" Type="http://schemas.openxmlformats.org/officeDocument/2006/relationships/hyperlink" Target="https://www.ers.usda.gov/topics/farm-economy/farm-sector-income-finances/farm-sector-income-forecast" TargetMode="External"/><Relationship Id="rId1" Type="http://schemas.openxmlformats.org/officeDocument/2006/relationships/hyperlink" Target="https://fred.stlouisfed.org/series/GDPDEF" TargetMode="External"/><Relationship Id="rId6" Type="http://schemas.openxmlformats.org/officeDocument/2006/relationships/table" Target="../tables/table3.xml"/><Relationship Id="rId5" Type="http://schemas.openxmlformats.org/officeDocument/2006/relationships/table" Target="../tables/table2.xml"/><Relationship Id="rId10" Type="http://schemas.microsoft.com/office/2017/10/relationships/threadedComment" Target="../threadedComments/threadedComment1.xml"/><Relationship Id="rId4" Type="http://schemas.openxmlformats.org/officeDocument/2006/relationships/table" Target="../tables/table1.xml"/><Relationship Id="rId9"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67243-5CC4-42FE-A839-EEDB1FA8BE77}">
  <sheetPr codeName="Sheet1"/>
  <dimension ref="A1:E27"/>
  <sheetViews>
    <sheetView tabSelected="1" workbookViewId="0">
      <selection activeCell="C20" sqref="C20"/>
    </sheetView>
  </sheetViews>
  <sheetFormatPr defaultColWidth="0" defaultRowHeight="16.5" zeroHeight="1"/>
  <cols>
    <col min="1" max="1" width="2.625" customWidth="1"/>
    <col min="2" max="2" width="9" style="27" customWidth="1"/>
    <col min="3" max="3" width="100.5" style="27" customWidth="1"/>
    <col min="4" max="4" width="9" style="27" customWidth="1"/>
    <col min="5" max="5" width="2.625" customWidth="1"/>
    <col min="6" max="16384" width="9" hidden="1"/>
  </cols>
  <sheetData>
    <row r="1" spans="1:5" ht="17.25" thickBot="1">
      <c r="A1" s="27"/>
      <c r="E1" s="27"/>
    </row>
    <row r="2" spans="1:5" ht="21" thickBot="1">
      <c r="A2" s="27"/>
      <c r="B2" s="289" t="s">
        <v>897</v>
      </c>
      <c r="C2" s="290"/>
      <c r="D2" s="291"/>
    </row>
    <row r="3" spans="1:5">
      <c r="A3" s="27"/>
      <c r="B3" s="292" t="s">
        <v>924</v>
      </c>
      <c r="C3" s="292"/>
      <c r="D3" s="292"/>
      <c r="E3" s="27"/>
    </row>
    <row r="4" spans="1:5">
      <c r="A4" s="27"/>
      <c r="B4" s="293"/>
      <c r="C4" s="293"/>
      <c r="D4" s="293"/>
      <c r="E4" s="27"/>
    </row>
    <row r="5" spans="1:5">
      <c r="A5" s="27"/>
      <c r="C5" s="28" t="s">
        <v>361</v>
      </c>
      <c r="E5" s="27"/>
    </row>
    <row r="6" spans="1:5">
      <c r="A6" s="27"/>
      <c r="C6" s="29" t="s">
        <v>936</v>
      </c>
      <c r="E6" s="27"/>
    </row>
    <row r="7" spans="1:5">
      <c r="A7" s="27"/>
      <c r="C7" s="29" t="s">
        <v>0</v>
      </c>
      <c r="E7" s="27"/>
    </row>
    <row r="8" spans="1:5">
      <c r="A8" s="27"/>
      <c r="C8" s="29"/>
      <c r="E8" s="27"/>
    </row>
    <row r="9" spans="1:5">
      <c r="A9" s="27"/>
      <c r="C9" s="29"/>
      <c r="E9" s="27"/>
    </row>
    <row r="10" spans="1:5">
      <c r="A10" s="27"/>
      <c r="C10" s="29"/>
      <c r="E10" s="27"/>
    </row>
    <row r="11" spans="1:5" ht="17.25">
      <c r="A11" s="27"/>
      <c r="B11" s="294" t="s">
        <v>1</v>
      </c>
      <c r="C11" s="294"/>
      <c r="D11" s="294"/>
      <c r="E11" s="27"/>
    </row>
    <row r="12" spans="1:5" ht="93" customHeight="1">
      <c r="A12" s="27"/>
      <c r="C12" s="31" t="s">
        <v>898</v>
      </c>
      <c r="E12" s="27"/>
    </row>
    <row r="13" spans="1:5" ht="17.25" customHeight="1">
      <c r="A13" s="27"/>
      <c r="C13" s="284" t="s">
        <v>927</v>
      </c>
      <c r="E13" s="27"/>
    </row>
    <row r="14" spans="1:5" ht="17.25" customHeight="1">
      <c r="A14" s="27"/>
      <c r="C14" s="285" t="s">
        <v>930</v>
      </c>
      <c r="E14" s="27"/>
    </row>
    <row r="15" spans="1:5" ht="17.25" customHeight="1">
      <c r="A15" s="27"/>
      <c r="C15" s="285" t="s">
        <v>928</v>
      </c>
      <c r="E15" s="27"/>
    </row>
    <row r="16" spans="1:5" ht="17.25" customHeight="1">
      <c r="A16" s="27"/>
      <c r="C16" s="285" t="s">
        <v>929</v>
      </c>
      <c r="E16" s="27"/>
    </row>
    <row r="17" spans="1:5" ht="17.25" customHeight="1">
      <c r="A17" s="27"/>
      <c r="C17" s="285" t="s">
        <v>931</v>
      </c>
      <c r="E17" s="27"/>
    </row>
    <row r="18" spans="1:5" ht="17.25" customHeight="1">
      <c r="A18" s="27"/>
      <c r="C18" s="285" t="s">
        <v>932</v>
      </c>
      <c r="E18" s="27"/>
    </row>
    <row r="19" spans="1:5" ht="17.25" customHeight="1">
      <c r="A19" s="27"/>
      <c r="C19" s="285" t="s">
        <v>933</v>
      </c>
      <c r="E19" s="27"/>
    </row>
    <row r="20" spans="1:5" ht="17.25" customHeight="1">
      <c r="A20" s="27"/>
      <c r="C20" s="286" t="s">
        <v>937</v>
      </c>
      <c r="E20" s="27"/>
    </row>
    <row r="21" spans="1:5">
      <c r="A21" s="27"/>
      <c r="C21" s="285" t="s">
        <v>934</v>
      </c>
      <c r="E21" s="27"/>
    </row>
    <row r="22" spans="1:5">
      <c r="A22" s="27"/>
      <c r="C22" s="285" t="s">
        <v>935</v>
      </c>
      <c r="E22" s="27"/>
    </row>
    <row r="23" spans="1:5">
      <c r="A23" s="27"/>
      <c r="E23" s="27"/>
    </row>
    <row r="24" spans="1:5" ht="17.25">
      <c r="A24" s="27"/>
      <c r="B24"/>
      <c r="C24" s="2" t="s">
        <v>2</v>
      </c>
      <c r="D24"/>
      <c r="E24" s="27"/>
    </row>
    <row r="25" spans="1:5" ht="17.25" thickBot="1">
      <c r="A25" s="27"/>
      <c r="B25" s="30"/>
      <c r="C25" s="30"/>
      <c r="D25" s="30"/>
      <c r="E25" s="27"/>
    </row>
    <row r="26" spans="1:5" ht="19.5" thickBot="1">
      <c r="A26" s="27"/>
      <c r="B26" s="287"/>
      <c r="C26" s="288"/>
      <c r="D26" s="288"/>
      <c r="E26" s="27"/>
    </row>
    <row r="27" spans="1:5">
      <c r="A27" s="27"/>
      <c r="E27" s="27"/>
    </row>
  </sheetData>
  <sheetProtection sheet="1" selectLockedCells="1" selectUnlockedCells="1"/>
  <mergeCells count="5">
    <mergeCell ref="B26:D26"/>
    <mergeCell ref="B2:D2"/>
    <mergeCell ref="B3:D3"/>
    <mergeCell ref="B4:D4"/>
    <mergeCell ref="B11:D11"/>
  </mergeCells>
  <hyperlinks>
    <hyperlink ref="C14" r:id="rId1" xr:uid="{97C25AF9-878A-4146-96DA-471CB20E7D17}"/>
    <hyperlink ref="C15" r:id="rId2" xr:uid="{216D7829-2E43-4696-8CB9-E915FB48038E}"/>
    <hyperlink ref="C16" r:id="rId3" xr:uid="{9585B66E-6F2B-4A78-9BE8-3E1D24671455}"/>
    <hyperlink ref="C17" r:id="rId4" xr:uid="{E5B36207-0E98-4D3B-98C7-9FDCD13F57AF}"/>
    <hyperlink ref="C18" r:id="rId5" xr:uid="{C175ED44-BF5B-4CB7-9096-0ADC4A4B661C}"/>
    <hyperlink ref="C19" r:id="rId6" xr:uid="{3AC4D46F-C39D-4FC2-9243-14E1581480F9}"/>
    <hyperlink ref="C20" r:id="rId7" display="G697, Southeast Missouri Double-Crop Milo Planning Budget" xr:uid="{8B14F7A4-13BF-4E09-94B4-3E1217EEF329}"/>
    <hyperlink ref="C21" r:id="rId8" xr:uid="{8DF61CAF-CC0C-44A9-82BC-1DFDBC7E0520}"/>
    <hyperlink ref="C22" r:id="rId9" xr:uid="{4C4E6F0A-C1AC-436A-A4FC-0A3E3305BBE6}"/>
  </hyperlinks>
  <pageMargins left="0.7" right="0.7" top="0.75" bottom="0.75" header="0.3" footer="0.3"/>
  <drawing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F6B28-8F9D-4C9E-AE24-CF107272B682}">
  <sheetPr>
    <pageSetUpPr fitToPage="1"/>
  </sheetPr>
  <dimension ref="A1:Q1228"/>
  <sheetViews>
    <sheetView showGridLines="0" topLeftCell="A12" zoomScaleNormal="100" workbookViewId="0">
      <selection activeCell="I31" sqref="I31"/>
    </sheetView>
  </sheetViews>
  <sheetFormatPr defaultColWidth="0" defaultRowHeight="16.5" zeroHeight="1"/>
  <cols>
    <col min="1" max="1" width="3.125" style="3" customWidth="1"/>
    <col min="2" max="2" width="34.875" style="3" customWidth="1"/>
    <col min="3" max="3" width="20.25" style="3" customWidth="1"/>
    <col min="4" max="5" width="14" style="3" customWidth="1"/>
    <col min="6" max="6" width="12.625" style="3" customWidth="1"/>
    <col min="7" max="7" width="11.75" style="3" customWidth="1"/>
    <col min="8" max="9" width="9" style="3" customWidth="1"/>
    <col min="10" max="10" width="11.625" style="3" customWidth="1"/>
    <col min="11" max="11" width="10.625" style="3" customWidth="1"/>
    <col min="12" max="14" width="9" style="3" customWidth="1"/>
    <col min="15" max="15" width="9.5" style="3" bestFit="1" customWidth="1"/>
    <col min="16" max="16" width="9" style="3" customWidth="1"/>
    <col min="17" max="17" width="3.125" style="3" customWidth="1"/>
    <col min="18" max="16384" width="9" style="3" hidden="1"/>
  </cols>
  <sheetData>
    <row r="1" spans="2:16">
      <c r="F1" s="32"/>
    </row>
    <row r="2" spans="2:16" ht="20.25" customHeight="1">
      <c r="B2" s="299" t="s">
        <v>753</v>
      </c>
      <c r="C2" s="299"/>
      <c r="D2" s="299"/>
      <c r="E2" s="299"/>
      <c r="F2" s="299"/>
      <c r="G2" s="4"/>
    </row>
    <row r="3" spans="2:16" ht="17.25">
      <c r="B3" s="33" t="s">
        <v>687</v>
      </c>
      <c r="C3" s="34"/>
      <c r="D3" s="143" t="s">
        <v>679</v>
      </c>
      <c r="E3" s="34"/>
      <c r="F3" s="36"/>
      <c r="G3" s="37"/>
      <c r="H3" s="38"/>
      <c r="I3" s="39" t="s">
        <v>800</v>
      </c>
      <c r="J3" s="38"/>
      <c r="K3" s="38"/>
      <c r="L3" s="38"/>
      <c r="M3" s="38"/>
      <c r="N3" s="38"/>
      <c r="O3" s="38"/>
      <c r="P3" s="38"/>
    </row>
    <row r="4" spans="2:16" ht="17.25">
      <c r="B4" s="40" t="s">
        <v>370</v>
      </c>
      <c r="C4" s="40" t="s">
        <v>556</v>
      </c>
      <c r="D4" s="41" t="s">
        <v>25</v>
      </c>
      <c r="E4" s="41" t="s">
        <v>854</v>
      </c>
      <c r="F4" s="41" t="s">
        <v>855</v>
      </c>
      <c r="G4" s="37"/>
      <c r="H4" s="42"/>
      <c r="I4" s="300" t="s">
        <v>6</v>
      </c>
      <c r="J4" s="300"/>
      <c r="K4" s="300"/>
      <c r="L4" s="300"/>
      <c r="M4" s="300"/>
      <c r="N4" s="300"/>
      <c r="O4" s="300"/>
      <c r="P4" s="300"/>
    </row>
    <row r="5" spans="2:16" ht="16.5" customHeight="1">
      <c r="B5" s="43" t="s">
        <v>20</v>
      </c>
      <c r="C5" s="187" t="s">
        <v>21</v>
      </c>
      <c r="D5" s="44">
        <v>180</v>
      </c>
      <c r="E5" s="77">
        <v>4.95</v>
      </c>
      <c r="F5" s="46">
        <f>D5*E5</f>
        <v>891</v>
      </c>
      <c r="G5" s="47" t="s">
        <v>40</v>
      </c>
      <c r="H5" s="301" t="s">
        <v>799</v>
      </c>
      <c r="I5" s="48"/>
      <c r="J5" s="49">
        <f>0.7*$D$5</f>
        <v>125.99999999999999</v>
      </c>
      <c r="K5" s="49">
        <f>0.8*$D$5</f>
        <v>144</v>
      </c>
      <c r="L5" s="49">
        <f>0.9*$D$5</f>
        <v>162</v>
      </c>
      <c r="M5" s="50">
        <f>1*$D$5</f>
        <v>180</v>
      </c>
      <c r="N5" s="49">
        <f>1.1*$D$5</f>
        <v>198.00000000000003</v>
      </c>
      <c r="O5" s="49">
        <f>1.2*$D$5</f>
        <v>216</v>
      </c>
      <c r="P5" s="51">
        <f>1.3*$D$5</f>
        <v>234</v>
      </c>
    </row>
    <row r="6" spans="2:16" ht="17.25">
      <c r="B6" s="43" t="s">
        <v>22</v>
      </c>
      <c r="C6" s="52"/>
      <c r="D6" s="53"/>
      <c r="E6" s="58"/>
      <c r="F6" s="46">
        <f>D6*E6</f>
        <v>0</v>
      </c>
      <c r="G6" s="54"/>
      <c r="H6" s="301"/>
      <c r="I6" s="55">
        <f>0.7*$E$5</f>
        <v>3.4649999999999999</v>
      </c>
      <c r="J6" s="56">
        <f t="shared" ref="J6:P12" si="0">(J$5*$I6+SUM($F$6:$F$8)-((J$5*$I6+SUM($F$6:$F$8))/$F$9*$F$37)-($F$24*J$5/$D$5)-SUM($F$12:$F$13,$F$19,$F$23,$F$25:$F$30,$F$32:$F$33,$F$38))</f>
        <v>-406.39535853091161</v>
      </c>
      <c r="K6" s="56">
        <f t="shared" si="0"/>
        <v>-349.77275853091157</v>
      </c>
      <c r="L6" s="56">
        <f t="shared" si="0"/>
        <v>-293.15015853091165</v>
      </c>
      <c r="M6" s="56">
        <f t="shared" si="0"/>
        <v>-236.52755853091162</v>
      </c>
      <c r="N6" s="56">
        <f t="shared" si="0"/>
        <v>-179.90495853091147</v>
      </c>
      <c r="O6" s="56">
        <f t="shared" si="0"/>
        <v>-123.28235853091167</v>
      </c>
      <c r="P6" s="56">
        <f t="shared" si="0"/>
        <v>-66.659758530911631</v>
      </c>
    </row>
    <row r="7" spans="2:16" ht="17.25">
      <c r="B7" s="57" t="s">
        <v>23</v>
      </c>
      <c r="C7" s="34"/>
      <c r="D7" s="57"/>
      <c r="E7" s="34"/>
      <c r="F7" s="58">
        <v>153</v>
      </c>
      <c r="G7" s="54"/>
      <c r="H7" s="301"/>
      <c r="I7" s="55">
        <f>0.8*$E$5</f>
        <v>3.9600000000000004</v>
      </c>
      <c r="J7" s="56">
        <f t="shared" si="0"/>
        <v>-345.27275853091157</v>
      </c>
      <c r="K7" s="56">
        <f t="shared" si="0"/>
        <v>-279.91835853091152</v>
      </c>
      <c r="L7" s="56">
        <f t="shared" si="0"/>
        <v>-214.56395853091146</v>
      </c>
      <c r="M7" s="56">
        <f t="shared" si="0"/>
        <v>-149.20955853091152</v>
      </c>
      <c r="N7" s="56">
        <f t="shared" si="0"/>
        <v>-83.855158530911353</v>
      </c>
      <c r="O7" s="56">
        <f t="shared" si="0"/>
        <v>-18.500758530911412</v>
      </c>
      <c r="P7" s="56">
        <f t="shared" si="0"/>
        <v>46.853641469088643</v>
      </c>
    </row>
    <row r="8" spans="2:16" ht="17.25">
      <c r="B8" s="57" t="s">
        <v>24</v>
      </c>
      <c r="C8" s="34"/>
      <c r="D8" s="57"/>
      <c r="E8" s="34"/>
      <c r="F8" s="59">
        <v>0</v>
      </c>
      <c r="G8" s="54"/>
      <c r="H8" s="301"/>
      <c r="I8" s="55">
        <f>0.9*$E$5</f>
        <v>4.4550000000000001</v>
      </c>
      <c r="J8" s="56">
        <f t="shared" si="0"/>
        <v>-284.15015853091165</v>
      </c>
      <c r="K8" s="56">
        <f t="shared" si="0"/>
        <v>-210.06395853091158</v>
      </c>
      <c r="L8" s="56">
        <f t="shared" si="0"/>
        <v>-135.9777585309115</v>
      </c>
      <c r="M8" s="56">
        <f t="shared" si="0"/>
        <v>-61.891558530911539</v>
      </c>
      <c r="N8" s="56">
        <f t="shared" si="0"/>
        <v>12.194641469088538</v>
      </c>
      <c r="O8" s="56">
        <f t="shared" si="0"/>
        <v>86.2808414690885</v>
      </c>
      <c r="P8" s="56">
        <f t="shared" si="0"/>
        <v>160.36704146908846</v>
      </c>
    </row>
    <row r="9" spans="2:16" ht="17.25">
      <c r="B9" s="60" t="s">
        <v>373</v>
      </c>
      <c r="C9" s="34"/>
      <c r="D9" s="61"/>
      <c r="E9" s="61"/>
      <c r="F9" s="62">
        <f>SUM(F5:F8)</f>
        <v>1044</v>
      </c>
      <c r="G9" s="63"/>
      <c r="H9" s="301"/>
      <c r="I9" s="64">
        <f>1*$E$5</f>
        <v>4.95</v>
      </c>
      <c r="J9" s="56">
        <f t="shared" si="0"/>
        <v>-223.02755853091162</v>
      </c>
      <c r="K9" s="56">
        <f t="shared" si="0"/>
        <v>-140.20955853091152</v>
      </c>
      <c r="L9" s="56">
        <f t="shared" si="0"/>
        <v>-57.391558530911539</v>
      </c>
      <c r="M9" s="65">
        <f>(M$5*$I9+SUM($F$6:$F$8)-((M$5*$I9+SUM($F$6:$F$8))/$F$9*$F$37)-($F$24*M$5/$D$5)-SUM($F$12:$F$13,$F$19,$F$23,$F$25:$F$30,$F$32:$F$33,$F$38))</f>
        <v>25.426441469088445</v>
      </c>
      <c r="N9" s="56">
        <f t="shared" si="0"/>
        <v>108.24444146908854</v>
      </c>
      <c r="O9" s="56">
        <f t="shared" si="0"/>
        <v>191.06244146908853</v>
      </c>
      <c r="P9" s="56">
        <f t="shared" si="0"/>
        <v>273.88044146908851</v>
      </c>
    </row>
    <row r="10" spans="2:16" ht="17.25">
      <c r="B10" s="60"/>
      <c r="C10" s="34"/>
      <c r="D10" s="61"/>
      <c r="E10" s="61"/>
      <c r="F10" s="66"/>
      <c r="G10" s="63"/>
      <c r="H10" s="301"/>
      <c r="I10" s="55">
        <f>1.1*$E$5</f>
        <v>5.4450000000000003</v>
      </c>
      <c r="J10" s="56">
        <f t="shared" si="0"/>
        <v>-161.90495853091159</v>
      </c>
      <c r="K10" s="56">
        <f t="shared" si="0"/>
        <v>-70.355158530911467</v>
      </c>
      <c r="L10" s="56">
        <f t="shared" si="0"/>
        <v>21.194641469088538</v>
      </c>
      <c r="M10" s="56">
        <f t="shared" si="0"/>
        <v>112.74444146908831</v>
      </c>
      <c r="N10" s="56">
        <f t="shared" si="0"/>
        <v>204.29424146908855</v>
      </c>
      <c r="O10" s="56">
        <f t="shared" si="0"/>
        <v>295.84404146908855</v>
      </c>
      <c r="P10" s="56">
        <f t="shared" si="0"/>
        <v>387.39384146908856</v>
      </c>
    </row>
    <row r="11" spans="2:16" ht="17.25">
      <c r="B11" s="67" t="s">
        <v>856</v>
      </c>
      <c r="C11" s="40" t="s">
        <v>556</v>
      </c>
      <c r="D11" s="41" t="s">
        <v>25</v>
      </c>
      <c r="E11" s="41" t="s">
        <v>854</v>
      </c>
      <c r="F11" s="41" t="s">
        <v>855</v>
      </c>
      <c r="G11" s="63"/>
      <c r="H11" s="301"/>
      <c r="I11" s="55">
        <f>1.2*$E$5</f>
        <v>5.94</v>
      </c>
      <c r="J11" s="56">
        <f t="shared" si="0"/>
        <v>-100.78235853091167</v>
      </c>
      <c r="K11" s="56">
        <f t="shared" si="0"/>
        <v>-0.50075853091152567</v>
      </c>
      <c r="L11" s="56">
        <f t="shared" si="0"/>
        <v>99.780841469088728</v>
      </c>
      <c r="M11" s="56">
        <f t="shared" si="0"/>
        <v>200.06244146908853</v>
      </c>
      <c r="N11" s="56">
        <f t="shared" si="0"/>
        <v>300.34404146908878</v>
      </c>
      <c r="O11" s="56">
        <f t="shared" si="0"/>
        <v>400.62564146908858</v>
      </c>
      <c r="P11" s="56">
        <f t="shared" si="0"/>
        <v>500.90724146908838</v>
      </c>
    </row>
    <row r="12" spans="2:16" ht="17.25">
      <c r="B12" s="57" t="s">
        <v>14</v>
      </c>
      <c r="C12" s="7" t="s">
        <v>686</v>
      </c>
      <c r="D12" s="68">
        <v>23</v>
      </c>
      <c r="E12" s="69">
        <v>7.69</v>
      </c>
      <c r="F12" s="46">
        <f>D12*E12</f>
        <v>176.87</v>
      </c>
      <c r="G12" s="63"/>
      <c r="H12" s="301"/>
      <c r="I12" s="70">
        <f>1.3*$E$5</f>
        <v>6.4350000000000005</v>
      </c>
      <c r="J12" s="56">
        <f t="shared" si="0"/>
        <v>-39.659758530911631</v>
      </c>
      <c r="K12" s="56">
        <f t="shared" si="0"/>
        <v>69.353641469088643</v>
      </c>
      <c r="L12" s="56">
        <f t="shared" si="0"/>
        <v>178.36704146908846</v>
      </c>
      <c r="M12" s="56">
        <f t="shared" si="0"/>
        <v>287.38044146908851</v>
      </c>
      <c r="N12" s="56">
        <f t="shared" si="0"/>
        <v>396.39384146908878</v>
      </c>
      <c r="O12" s="56">
        <f t="shared" si="0"/>
        <v>505.40724146908838</v>
      </c>
      <c r="P12" s="56">
        <f t="shared" si="0"/>
        <v>614.42064146908865</v>
      </c>
    </row>
    <row r="13" spans="2:16">
      <c r="B13" s="57" t="s">
        <v>26</v>
      </c>
      <c r="C13" s="7"/>
      <c r="D13" s="34"/>
      <c r="E13" s="71"/>
      <c r="F13" s="46">
        <f>SUMPRODUCT(D14:D18,E14:E18)+F17</f>
        <v>215.59999999999997</v>
      </c>
      <c r="G13" s="63"/>
      <c r="H13" s="72"/>
    </row>
    <row r="14" spans="2:16">
      <c r="B14" s="73" t="s">
        <v>27</v>
      </c>
      <c r="C14" s="7" t="s">
        <v>686</v>
      </c>
      <c r="D14" s="45">
        <v>170</v>
      </c>
      <c r="E14" s="71">
        <f>'Input prices'!D4</f>
        <v>0.7</v>
      </c>
      <c r="F14" s="46"/>
      <c r="G14" s="63"/>
      <c r="H14" s="72"/>
    </row>
    <row r="15" spans="2:16">
      <c r="B15" s="73" t="s">
        <v>28</v>
      </c>
      <c r="C15" s="7" t="s">
        <v>686</v>
      </c>
      <c r="D15" s="45">
        <v>60</v>
      </c>
      <c r="E15" s="71">
        <f>'Input prices'!D5</f>
        <v>0.73</v>
      </c>
      <c r="F15" s="46"/>
      <c r="G15" s="63"/>
      <c r="H15" s="74"/>
      <c r="I15"/>
      <c r="J15" s="75"/>
    </row>
    <row r="16" spans="2:16">
      <c r="B16" s="73" t="s">
        <v>8</v>
      </c>
      <c r="C16" s="7" t="s">
        <v>686</v>
      </c>
      <c r="D16" s="45">
        <v>90</v>
      </c>
      <c r="E16" s="71">
        <f>'Input prices'!D6</f>
        <v>0.42</v>
      </c>
      <c r="F16" s="46"/>
      <c r="G16" s="63"/>
      <c r="H16" s="74"/>
      <c r="I16"/>
      <c r="K16" s="76"/>
    </row>
    <row r="17" spans="2:16">
      <c r="B17" s="73" t="s">
        <v>690</v>
      </c>
      <c r="C17" s="7"/>
      <c r="D17" s="34"/>
      <c r="E17" s="71"/>
      <c r="F17" s="77">
        <v>15</v>
      </c>
      <c r="G17" s="63"/>
      <c r="H17" s="72"/>
      <c r="I17" s="1"/>
      <c r="K17" s="76"/>
    </row>
    <row r="18" spans="2:16">
      <c r="B18" s="73" t="s">
        <v>9</v>
      </c>
      <c r="C18" s="7" t="s">
        <v>859</v>
      </c>
      <c r="D18" s="45">
        <v>0</v>
      </c>
      <c r="E18" s="71">
        <f>'Input prices'!D7</f>
        <v>35</v>
      </c>
      <c r="F18" s="78"/>
      <c r="G18" s="63"/>
      <c r="H18" s="72"/>
      <c r="I18" s="9"/>
      <c r="K18" s="79"/>
    </row>
    <row r="19" spans="2:16">
      <c r="B19" s="57" t="s">
        <v>29</v>
      </c>
      <c r="C19" s="7"/>
      <c r="D19" s="34"/>
      <c r="E19" s="71"/>
      <c r="F19" s="46">
        <f>SUMPRODUCT(D20:D22,E20:E22)</f>
        <v>156</v>
      </c>
      <c r="G19" s="37"/>
      <c r="H19" s="72"/>
      <c r="I19" s="9"/>
      <c r="J19" s="282"/>
      <c r="L19" s="276"/>
      <c r="M19" s="276"/>
      <c r="N19" s="276"/>
      <c r="O19" s="276"/>
      <c r="P19" s="276"/>
    </row>
    <row r="20" spans="2:16">
      <c r="B20" s="73" t="s">
        <v>15</v>
      </c>
      <c r="C20" s="7" t="s">
        <v>860</v>
      </c>
      <c r="D20" s="45">
        <v>3</v>
      </c>
      <c r="E20" s="69">
        <v>45</v>
      </c>
      <c r="F20" s="46"/>
      <c r="G20" s="37"/>
      <c r="H20" s="72"/>
      <c r="I20" s="9"/>
      <c r="K20" s="275"/>
      <c r="L20" s="276"/>
      <c r="M20" s="276"/>
      <c r="N20" s="276"/>
      <c r="O20" s="276"/>
      <c r="P20" s="276"/>
    </row>
    <row r="21" spans="2:16">
      <c r="B21" s="73" t="s">
        <v>691</v>
      </c>
      <c r="C21" s="7" t="s">
        <v>860</v>
      </c>
      <c r="D21" s="45">
        <v>0</v>
      </c>
      <c r="E21" s="69">
        <v>6</v>
      </c>
      <c r="F21" s="46"/>
      <c r="G21" s="37"/>
      <c r="H21" s="72"/>
      <c r="I21" s="9"/>
      <c r="K21" s="275"/>
      <c r="L21" s="276"/>
      <c r="M21" s="276"/>
      <c r="N21" s="276"/>
      <c r="O21" s="276"/>
      <c r="P21" s="276"/>
    </row>
    <row r="22" spans="2:16">
      <c r="B22" s="73" t="s">
        <v>692</v>
      </c>
      <c r="C22" s="7" t="s">
        <v>860</v>
      </c>
      <c r="D22" s="45">
        <v>1</v>
      </c>
      <c r="E22" s="69">
        <v>21</v>
      </c>
      <c r="F22" s="46"/>
      <c r="G22" s="63"/>
      <c r="H22" s="72"/>
      <c r="I22" s="9"/>
      <c r="K22" s="275"/>
      <c r="L22" s="276"/>
      <c r="M22" s="276"/>
      <c r="N22" s="276"/>
      <c r="O22" s="276"/>
      <c r="P22" s="276"/>
    </row>
    <row r="23" spans="2:16">
      <c r="B23" s="57" t="s">
        <v>359</v>
      </c>
      <c r="C23" s="7" t="s">
        <v>861</v>
      </c>
      <c r="D23" s="45">
        <v>30</v>
      </c>
      <c r="E23" s="71">
        <f>IFERROR(HLOOKUP($D$3,'Irrigation costs'!$D$2:$F$17,15,FALSE),0)</f>
        <v>2.76</v>
      </c>
      <c r="F23" s="46">
        <f>D23*E23</f>
        <v>82.8</v>
      </c>
      <c r="G23" s="63"/>
      <c r="H23" s="72"/>
      <c r="I23" s="9"/>
      <c r="K23" s="277"/>
      <c r="L23" s="276"/>
      <c r="M23" s="276"/>
      <c r="N23" s="276"/>
      <c r="O23" s="276"/>
      <c r="P23" s="276"/>
    </row>
    <row r="24" spans="2:16">
      <c r="B24" s="57" t="s">
        <v>755</v>
      </c>
      <c r="C24" s="7" t="s">
        <v>862</v>
      </c>
      <c r="D24" s="81">
        <v>0.05</v>
      </c>
      <c r="E24" s="69">
        <v>0.05</v>
      </c>
      <c r="F24" s="46">
        <f>IFERROR(D24*100*E24*D5,0)</f>
        <v>45</v>
      </c>
      <c r="G24" s="63"/>
      <c r="H24" s="72"/>
      <c r="I24" s="9"/>
      <c r="K24" s="275"/>
      <c r="L24" s="276"/>
      <c r="M24" s="276"/>
      <c r="N24" s="276"/>
      <c r="O24" s="276"/>
      <c r="P24" s="276"/>
    </row>
    <row r="25" spans="2:16">
      <c r="B25" s="57" t="s">
        <v>30</v>
      </c>
      <c r="C25" s="7"/>
      <c r="D25" s="34"/>
      <c r="E25" s="71"/>
      <c r="F25" s="58">
        <v>8.5</v>
      </c>
      <c r="G25" s="63"/>
      <c r="H25" s="72"/>
      <c r="I25" s="1"/>
      <c r="K25" s="278"/>
      <c r="L25" s="276"/>
      <c r="M25" s="276"/>
      <c r="N25" s="276"/>
      <c r="O25" s="276"/>
      <c r="P25" s="276"/>
    </row>
    <row r="26" spans="2:16">
      <c r="B26" s="57" t="s">
        <v>31</v>
      </c>
      <c r="C26" s="7"/>
      <c r="D26" s="34"/>
      <c r="E26" s="71"/>
      <c r="F26" s="58">
        <v>30</v>
      </c>
      <c r="G26" s="63"/>
      <c r="H26" s="72"/>
      <c r="I26" s="9"/>
      <c r="K26" s="279"/>
      <c r="L26" s="276"/>
      <c r="M26" s="276"/>
      <c r="N26" s="276"/>
      <c r="O26" s="276"/>
      <c r="P26" s="276"/>
    </row>
    <row r="27" spans="2:16">
      <c r="B27" s="57" t="s">
        <v>32</v>
      </c>
      <c r="C27" s="7" t="s">
        <v>654</v>
      </c>
      <c r="D27" s="34"/>
      <c r="E27" s="71"/>
      <c r="F27" s="83">
        <f>G57</f>
        <v>46.850999999999999</v>
      </c>
      <c r="G27" s="63"/>
      <c r="H27" s="72"/>
      <c r="I27" s="9"/>
      <c r="K27" s="279"/>
      <c r="L27" s="276"/>
      <c r="M27" s="276"/>
      <c r="N27" s="276"/>
      <c r="O27" s="276"/>
      <c r="P27" s="276"/>
    </row>
    <row r="28" spans="2:16">
      <c r="B28" s="57" t="s">
        <v>808</v>
      </c>
      <c r="C28" s="7" t="s">
        <v>863</v>
      </c>
      <c r="D28" s="34">
        <f>F73</f>
        <v>0.80321700603318247</v>
      </c>
      <c r="E28" s="71">
        <f>'Input prices'!D8</f>
        <v>22.5</v>
      </c>
      <c r="F28" s="83">
        <f>E28*D28</f>
        <v>18.072382635746607</v>
      </c>
      <c r="G28" s="63"/>
      <c r="H28" s="72"/>
      <c r="I28" s="9"/>
      <c r="K28" s="279"/>
      <c r="L28" s="276"/>
      <c r="M28" s="276"/>
      <c r="N28" s="276"/>
      <c r="O28" s="276"/>
      <c r="P28" s="276"/>
    </row>
    <row r="29" spans="2:16">
      <c r="B29" s="57" t="s">
        <v>702</v>
      </c>
      <c r="C29" s="7" t="s">
        <v>864</v>
      </c>
      <c r="D29" s="34">
        <f>E73</f>
        <v>7.8883802197802195</v>
      </c>
      <c r="E29" s="71">
        <f>'Input prices'!D9</f>
        <v>2.9</v>
      </c>
      <c r="F29" s="83">
        <f>D29*E29</f>
        <v>22.876302637362635</v>
      </c>
      <c r="G29" s="63"/>
      <c r="H29" s="72"/>
      <c r="I29" s="9"/>
      <c r="K29" s="278"/>
      <c r="L29" s="276"/>
      <c r="M29" s="276"/>
      <c r="N29" s="276"/>
      <c r="O29" s="276"/>
      <c r="P29" s="276"/>
    </row>
    <row r="30" spans="2:16">
      <c r="B30" s="57" t="s">
        <v>33</v>
      </c>
      <c r="C30" s="84" t="s">
        <v>654</v>
      </c>
      <c r="D30" s="85"/>
      <c r="E30" s="34"/>
      <c r="F30" s="83">
        <f>G73-F29-F28</f>
        <v>41.588580305695352</v>
      </c>
      <c r="G30" s="63"/>
      <c r="H30" s="72"/>
      <c r="I30" s="9"/>
      <c r="K30" s="280"/>
      <c r="L30" s="276"/>
      <c r="M30" s="276"/>
      <c r="N30" s="276"/>
      <c r="O30" s="276"/>
      <c r="P30" s="276"/>
    </row>
    <row r="31" spans="2:16">
      <c r="B31" s="57" t="s">
        <v>366</v>
      </c>
      <c r="C31" s="84" t="s">
        <v>865</v>
      </c>
      <c r="D31" s="197">
        <v>0.03</v>
      </c>
      <c r="E31" s="34"/>
      <c r="F31" s="83">
        <f>F9*D31</f>
        <v>31.32</v>
      </c>
      <c r="G31" s="63"/>
      <c r="H31" s="72"/>
      <c r="I31" s="9"/>
      <c r="K31" s="281"/>
      <c r="L31" s="276"/>
      <c r="M31" s="276"/>
      <c r="N31" s="276"/>
      <c r="O31" s="276"/>
      <c r="P31" s="276"/>
    </row>
    <row r="32" spans="2:16">
      <c r="B32" s="57" t="s">
        <v>34</v>
      </c>
      <c r="C32" s="7" t="s">
        <v>654</v>
      </c>
      <c r="D32" s="85"/>
      <c r="E32" s="34"/>
      <c r="F32" s="58">
        <v>0</v>
      </c>
      <c r="G32" s="63"/>
      <c r="H32" s="72"/>
      <c r="K32" s="276"/>
      <c r="L32" s="276"/>
      <c r="M32" s="276"/>
      <c r="N32" s="276"/>
      <c r="O32" s="276"/>
      <c r="P32" s="276"/>
    </row>
    <row r="33" spans="2:8">
      <c r="B33" s="57" t="s">
        <v>11</v>
      </c>
      <c r="C33" s="84" t="s">
        <v>866</v>
      </c>
      <c r="D33" s="88">
        <f>SUM(F12:F13,F19,F24:F32)/2</f>
        <v>396.33913278940236</v>
      </c>
      <c r="E33" s="89">
        <f>'Input prices'!D10</f>
        <v>7.2499999999999995E-2</v>
      </c>
      <c r="F33" s="90">
        <f>E33*D33</f>
        <v>28.73458712723167</v>
      </c>
      <c r="G33" s="91"/>
      <c r="H33" s="72"/>
    </row>
    <row r="34" spans="2:8">
      <c r="B34" s="60" t="s">
        <v>372</v>
      </c>
      <c r="C34" s="92"/>
      <c r="D34" s="61"/>
      <c r="E34" s="34"/>
      <c r="F34" s="62">
        <f>SUM(F12:F13,F19,F23:F33)</f>
        <v>904.2128527060363</v>
      </c>
      <c r="G34" s="63"/>
      <c r="H34" s="72"/>
    </row>
    <row r="35" spans="2:8">
      <c r="B35" s="36"/>
      <c r="C35" s="92"/>
      <c r="D35" s="61"/>
      <c r="E35" s="34"/>
      <c r="F35" s="36"/>
      <c r="G35" s="63"/>
      <c r="H35" s="72"/>
    </row>
    <row r="36" spans="2:8" ht="17.25">
      <c r="B36" s="67" t="s">
        <v>867</v>
      </c>
      <c r="C36" s="40" t="s">
        <v>556</v>
      </c>
      <c r="D36" s="41" t="s">
        <v>25</v>
      </c>
      <c r="E36" s="41" t="s">
        <v>854</v>
      </c>
      <c r="F36" s="41" t="s">
        <v>855</v>
      </c>
      <c r="G36" s="63"/>
      <c r="H36" s="72"/>
    </row>
    <row r="37" spans="2:8">
      <c r="B37" s="57" t="s">
        <v>18</v>
      </c>
      <c r="C37" s="84" t="s">
        <v>865</v>
      </c>
      <c r="D37" s="197">
        <v>0.02</v>
      </c>
      <c r="E37" s="34"/>
      <c r="F37" s="46">
        <f>D37*F9</f>
        <v>20.88</v>
      </c>
      <c r="G37" s="63"/>
      <c r="H37" s="72"/>
    </row>
    <row r="38" spans="2:8">
      <c r="B38" s="57" t="s">
        <v>376</v>
      </c>
      <c r="C38" s="84" t="s">
        <v>654</v>
      </c>
      <c r="D38" s="61"/>
      <c r="E38" s="34"/>
      <c r="F38" s="46">
        <f>H73+HLOOKUP(D3,'Irrigation costs'!$D$2:$G$17,14, FALSE)</f>
        <v>124.80070582487528</v>
      </c>
      <c r="G38" s="63"/>
      <c r="H38" s="72"/>
    </row>
    <row r="39" spans="2:8">
      <c r="B39" s="57" t="s">
        <v>35</v>
      </c>
      <c r="C39" s="84" t="s">
        <v>654</v>
      </c>
      <c r="D39" s="61"/>
      <c r="E39" s="34"/>
      <c r="F39" s="93">
        <v>225</v>
      </c>
      <c r="G39" s="91"/>
      <c r="H39" s="72"/>
    </row>
    <row r="40" spans="2:8">
      <c r="B40" s="60" t="s">
        <v>868</v>
      </c>
      <c r="C40" s="92"/>
      <c r="D40" s="61"/>
      <c r="E40" s="34"/>
      <c r="F40" s="62">
        <f>SUM(F37:F39)</f>
        <v>370.6807058248753</v>
      </c>
      <c r="G40" s="63"/>
      <c r="H40" s="72"/>
    </row>
    <row r="41" spans="2:8">
      <c r="B41" s="36"/>
      <c r="C41" s="34"/>
      <c r="D41" s="61"/>
      <c r="E41" s="34"/>
      <c r="F41" s="46"/>
      <c r="G41" s="91"/>
      <c r="H41" s="72"/>
    </row>
    <row r="42" spans="2:8" ht="15" customHeight="1">
      <c r="B42" s="60" t="s">
        <v>375</v>
      </c>
      <c r="C42" s="34"/>
      <c r="D42" s="61"/>
      <c r="E42" s="61"/>
      <c r="F42" s="62">
        <f>F34+F40</f>
        <v>1274.8935585309116</v>
      </c>
      <c r="G42" s="37"/>
      <c r="H42" s="72"/>
    </row>
    <row r="43" spans="2:8">
      <c r="B43" s="94"/>
      <c r="C43" s="95"/>
      <c r="D43" s="96"/>
      <c r="E43" s="95"/>
      <c r="F43" s="97"/>
      <c r="G43" s="63"/>
      <c r="H43" s="72"/>
    </row>
    <row r="44" spans="2:8">
      <c r="B44" s="98" t="s">
        <v>367</v>
      </c>
      <c r="C44" s="34"/>
      <c r="D44" s="61"/>
      <c r="E44" s="34"/>
      <c r="F44" s="62">
        <f>F9-F34</f>
        <v>139.7871472939637</v>
      </c>
      <c r="G44" s="63"/>
      <c r="H44" s="72"/>
    </row>
    <row r="45" spans="2:8">
      <c r="B45" s="98" t="s">
        <v>368</v>
      </c>
      <c r="C45" s="34"/>
      <c r="D45" s="61"/>
      <c r="E45" s="34"/>
      <c r="F45" s="62">
        <f>F9-F42</f>
        <v>-230.8935585309116</v>
      </c>
      <c r="G45" s="37"/>
      <c r="H45" s="72"/>
    </row>
    <row r="46" spans="2:8">
      <c r="B46" s="99" t="s">
        <v>369</v>
      </c>
      <c r="C46" s="100"/>
      <c r="D46" s="101"/>
      <c r="E46" s="100"/>
      <c r="F46" s="102">
        <f>F9-F42+F39+F31</f>
        <v>25.426441469088395</v>
      </c>
      <c r="G46" s="63"/>
      <c r="H46" s="72"/>
    </row>
    <row r="47" spans="2:8">
      <c r="B47" s="36"/>
      <c r="C47" s="34"/>
      <c r="D47" s="34" t="s">
        <v>36</v>
      </c>
      <c r="E47" s="34"/>
      <c r="F47" s="46">
        <f>F34/D5</f>
        <v>5.0234047372557571</v>
      </c>
      <c r="G47" s="63"/>
      <c r="H47" s="72"/>
    </row>
    <row r="48" spans="2:8">
      <c r="B48" s="36"/>
      <c r="C48" s="34"/>
      <c r="D48" s="34" t="s">
        <v>37</v>
      </c>
      <c r="E48" s="34"/>
      <c r="F48" s="46">
        <f>F40/D5</f>
        <v>2.0593372545826405</v>
      </c>
      <c r="G48" s="63"/>
      <c r="H48" s="72"/>
    </row>
    <row r="49" spans="2:9">
      <c r="B49" s="103"/>
      <c r="C49" s="100"/>
      <c r="D49" s="100" t="s">
        <v>38</v>
      </c>
      <c r="E49" s="100"/>
      <c r="F49" s="90">
        <f>F42/D5</f>
        <v>7.0827419918383976</v>
      </c>
      <c r="G49" s="63"/>
      <c r="H49" s="72"/>
    </row>
    <row r="50" spans="2:9">
      <c r="B50" s="37"/>
      <c r="C50" s="63"/>
      <c r="D50" s="104"/>
      <c r="E50" s="63"/>
      <c r="F50" s="37"/>
      <c r="G50" s="63"/>
      <c r="H50" s="72"/>
    </row>
    <row r="51" spans="2:9">
      <c r="B51" s="302" t="s">
        <v>869</v>
      </c>
      <c r="C51" s="302"/>
      <c r="D51" s="302"/>
      <c r="E51" s="302"/>
      <c r="F51" s="302"/>
      <c r="G51" s="106"/>
      <c r="H51" s="72"/>
    </row>
    <row r="52" spans="2:9">
      <c r="B52" s="107" t="s">
        <v>560</v>
      </c>
      <c r="C52" s="108" t="s">
        <v>561</v>
      </c>
      <c r="D52" s="108" t="s">
        <v>556</v>
      </c>
      <c r="E52" s="108" t="s">
        <v>754</v>
      </c>
      <c r="F52" s="108" t="s">
        <v>10</v>
      </c>
      <c r="G52" s="109" t="s">
        <v>698</v>
      </c>
      <c r="H52" s="72"/>
    </row>
    <row r="53" spans="2:9">
      <c r="B53" s="110" t="s">
        <v>563</v>
      </c>
      <c r="C53" s="111">
        <f>IF(ISBLANK($B53),"",VLOOKUP($B53,'Machinery Input Tables'!$C$133:$F$184,2,FALSE))</f>
        <v>7.3709999999999996</v>
      </c>
      <c r="D53" s="111" t="str">
        <f>IF(ISBLANK($B53),"",VLOOKUP($B53,'Machinery Input Tables'!$C$133:$F$184,3,FALSE))</f>
        <v>per acre</v>
      </c>
      <c r="E53" s="112"/>
      <c r="F53" s="110">
        <v>1</v>
      </c>
      <c r="G53" s="113">
        <f>IFERROR(C53*F53*IF(D53="per acre",1,E53),"-")</f>
        <v>7.3709999999999996</v>
      </c>
      <c r="H53" s="72"/>
    </row>
    <row r="54" spans="2:9">
      <c r="B54" s="110" t="s">
        <v>700</v>
      </c>
      <c r="C54" s="111">
        <f>IF(ISBLANK($B54),"",VLOOKUP($B54,'Machinery Input Tables'!$C$133:$F$184,2,FALSE))</f>
        <v>12.600000000000001</v>
      </c>
      <c r="D54" s="111" t="str">
        <f>IF(ISBLANK($B54),"",VLOOKUP($B54,'Machinery Input Tables'!$C$133:$F$184,3,FALSE))</f>
        <v>per acre</v>
      </c>
      <c r="E54" s="112"/>
      <c r="F54" s="110">
        <v>1</v>
      </c>
      <c r="G54" s="113">
        <f t="shared" ref="G54:G56" si="1">IFERROR(C54*F54*IF(D54="per acre",1,E54),"-")</f>
        <v>12.600000000000001</v>
      </c>
      <c r="H54" s="72"/>
    </row>
    <row r="55" spans="2:9">
      <c r="B55" s="114" t="s">
        <v>919</v>
      </c>
      <c r="C55" s="111">
        <f>IF(ISBLANK($B55),"",VLOOKUP($B55,'Machinery Input Tables'!$C$133:$F$184,2,FALSE))</f>
        <v>8.4000000000000005E-2</v>
      </c>
      <c r="D55" s="111" t="str">
        <f>IF(ISBLANK($B55),"",VLOOKUP($B55,'Machinery Input Tables'!$C$133:$F$184,3,FALSE))</f>
        <v>per pound</v>
      </c>
      <c r="E55" s="114">
        <v>160</v>
      </c>
      <c r="F55" s="114">
        <v>2</v>
      </c>
      <c r="G55" s="113">
        <f t="shared" si="1"/>
        <v>26.880000000000003</v>
      </c>
      <c r="H55" s="72"/>
    </row>
    <row r="56" spans="2:9">
      <c r="B56" s="115"/>
      <c r="C56" s="116" t="str">
        <f>IF(ISBLANK($B56),"",VLOOKUP($B56,'Machinery Input Tables'!$C$133:$F$184,2,FALSE))</f>
        <v/>
      </c>
      <c r="D56" s="117" t="str">
        <f>IF(ISBLANK($B56),"",VLOOKUP($B56,'Machinery Input Tables'!$C$133:$F$184,3,FALSE))</f>
        <v/>
      </c>
      <c r="E56" s="115"/>
      <c r="F56" s="115"/>
      <c r="G56" s="118" t="str">
        <f t="shared" si="1"/>
        <v>-</v>
      </c>
      <c r="H56" s="72"/>
    </row>
    <row r="57" spans="2:9">
      <c r="B57" s="119" t="s">
        <v>699</v>
      </c>
      <c r="C57" s="120"/>
      <c r="D57" s="119"/>
      <c r="E57" s="120"/>
      <c r="F57" s="120"/>
      <c r="G57" s="121">
        <f>SUM(G53:G56)</f>
        <v>46.850999999999999</v>
      </c>
      <c r="H57" s="72"/>
    </row>
    <row r="58" spans="2:9" s="6" customFormat="1" ht="17.25">
      <c r="B58" s="302" t="s">
        <v>870</v>
      </c>
      <c r="C58" s="302"/>
      <c r="D58" s="302"/>
      <c r="E58" s="302"/>
      <c r="F58" s="302"/>
      <c r="G58" s="302"/>
      <c r="H58" s="302"/>
      <c r="I58" s="302"/>
    </row>
    <row r="59" spans="2:9">
      <c r="B59" s="303" t="s">
        <v>497</v>
      </c>
      <c r="C59" s="305" t="s">
        <v>498</v>
      </c>
      <c r="D59" s="123" t="s">
        <v>871</v>
      </c>
      <c r="E59" s="305" t="s">
        <v>499</v>
      </c>
      <c r="F59" s="305" t="s">
        <v>500</v>
      </c>
      <c r="G59" s="122" t="s">
        <v>501</v>
      </c>
      <c r="H59" s="122" t="s">
        <v>502</v>
      </c>
      <c r="I59" s="307" t="s">
        <v>503</v>
      </c>
    </row>
    <row r="60" spans="2:9">
      <c r="B60" s="304"/>
      <c r="C60" s="306"/>
      <c r="D60" s="125" t="s">
        <v>872</v>
      </c>
      <c r="E60" s="306"/>
      <c r="F60" s="306"/>
      <c r="G60" s="124" t="s">
        <v>516</v>
      </c>
      <c r="H60" s="124" t="s">
        <v>516</v>
      </c>
      <c r="I60" s="308"/>
    </row>
    <row r="61" spans="2:9">
      <c r="B61" s="126"/>
      <c r="C61" s="127" t="s">
        <v>873</v>
      </c>
      <c r="D61" s="128" t="s">
        <v>522</v>
      </c>
      <c r="E61" s="128" t="s">
        <v>519</v>
      </c>
      <c r="F61" s="128" t="s">
        <v>520</v>
      </c>
      <c r="G61" s="128" t="s">
        <v>521</v>
      </c>
      <c r="H61" s="128" t="s">
        <v>521</v>
      </c>
      <c r="I61" s="128" t="s">
        <v>523</v>
      </c>
    </row>
    <row r="62" spans="2:9">
      <c r="B62" s="129" t="s">
        <v>791</v>
      </c>
      <c r="C62" s="129" t="s">
        <v>649</v>
      </c>
      <c r="D62" s="130">
        <v>2</v>
      </c>
      <c r="E62" s="131">
        <f>IFERROR(IF(ISBLANK(C62),"",IF(OR(ISBLANK(B62),IFERROR(VLOOKUP(B62,'Machinery Input Tables'!$B$6:$AF$121,13,FALSE),"")='Machinery Input Tables'!$N$128),1,VLOOKUP(B62,'Machinery Input Tables'!$B$6:$AF$121,28,FALSE))*VLOOKUP(C62,'Machinery Input Tables'!$AH$6:$BA$32,19,FALSE))*D62,"-")</f>
        <v>1.5125</v>
      </c>
      <c r="F62" s="131">
        <f>IFERROR(IF(AND(ISBLANK(B62)*ISBLANK(C62)),"",IF(ISBLANK(B62),1,IF(VLOOKUP(B62,'Machinery Input Tables'!$B$6:$AF$121,13,FALSE)='Machinery Input Tables'!$N$128,VLOOKUP(B62,'Machinery Input Tables'!$B$6:$AF$121,17,FALSE),VLOOKUP(B62,'Machinery Input Tables'!$B$6:$AF$121,28,FALSE))))*D62,"-")</f>
        <v>0.10110294117647059</v>
      </c>
      <c r="G62" s="132">
        <f>IFERROR(IF(ISBLANK(C62),"",E62*'Machinery Input Tables'!$BP$10+F62*'Machinery Input Tables'!$BP$6+(VLOOKUP(C62,'Machinery Input Tables'!$AH$6:$BA$32,18,FALSE)*IF(IFERROR(VLOOKUP(B62,'Machinery Input Tables'!$B$6:$AF$121,13,FALSE)='Machinery Input Tables'!$N$128,1),1,VLOOKUP(B62,'Machinery Input Tables'!$B$6:$AF$121,28,FALSE))+IFERROR(VLOOKUP(B62,'Machinery Input Tables'!$B$6:$AF$121,27,FALSE),0))*D62),"-")</f>
        <v>13.766064929772497</v>
      </c>
      <c r="H62" s="132">
        <f>IFERROR((IFERROR(VLOOKUP(B62,'Machinery Input Tables'!$B$6:$AF$121,24,FALSE),0)+VLOOKUP(C62,'Machinery Input Tables'!$AH$6:$BA$32,20,FALSE))*IF(IFERROR(VLOOKUP(B62,'Machinery Input Tables'!$B$6:$AF$121,13,FALSE)='Machinery Input Tables'!$N$128,1),1,VLOOKUP(B62,'Machinery Input Tables'!$B$6:$AF$121,28,FALSE))*D62,"-")</f>
        <v>21.172569014582731</v>
      </c>
      <c r="I62" s="132">
        <f>IFERROR(IF(ISBLANK(AND(B62,C62)),"",SUM(G62:H62)),"-")</f>
        <v>34.938633944355232</v>
      </c>
    </row>
    <row r="63" spans="2:9">
      <c r="B63" s="129" t="s">
        <v>790</v>
      </c>
      <c r="C63" s="129" t="s">
        <v>649</v>
      </c>
      <c r="D63" s="130">
        <v>1</v>
      </c>
      <c r="E63" s="131">
        <f>IFERROR(IF(ISBLANK(C63),"",IF(OR(ISBLANK(B63),IFERROR(VLOOKUP(B63,'Machinery Input Tables'!$B$6:$AF$121,13,FALSE),"")='Machinery Input Tables'!$N$128),1,VLOOKUP(B63,'Machinery Input Tables'!$B$6:$AF$121,28,FALSE))*VLOOKUP(C63,'Machinery Input Tables'!$AH$6:$BA$32,19,FALSE))*D63,"-")</f>
        <v>0.46095238095238095</v>
      </c>
      <c r="F63" s="131">
        <f>IFERROR(IF(AND(ISBLANK(B63)*ISBLANK(C63)),"",IF(ISBLANK(B63),1,IF(VLOOKUP(B63,'Machinery Input Tables'!$B$6:$AF$121,13,FALSE)='Machinery Input Tables'!$N$128,VLOOKUP(B63,'Machinery Input Tables'!$B$6:$AF$121,17,FALSE),VLOOKUP(B63,'Machinery Input Tables'!$B$6:$AF$121,28,FALSE))))*D63,"-")</f>
        <v>3.081232492997199E-2</v>
      </c>
      <c r="G63" s="132">
        <f>IFERROR(IF(ISBLANK(C63),"",E63*'Machinery Input Tables'!$BP$10+F63*'Machinery Input Tables'!$BP$6+(VLOOKUP(C63,'Machinery Input Tables'!$AH$6:$BA$32,18,FALSE)*IF(IFERROR(VLOOKUP(B63,'Machinery Input Tables'!$B$6:$AF$121,13,FALSE)='Machinery Input Tables'!$N$128,1),1,VLOOKUP(B63,'Machinery Input Tables'!$B$6:$AF$121,28,FALSE))+IFERROR(VLOOKUP(B63,'Machinery Input Tables'!$B$6:$AF$121,27,FALSE),0))*D63),"-")</f>
        <v>3.9627231707999955</v>
      </c>
      <c r="H63" s="132">
        <f>IFERROR((IFERROR(VLOOKUP(B63,'Machinery Input Tables'!$B$6:$AF$121,24,FALSE),0)+VLOOKUP(C63,'Machinery Input Tables'!$AH$6:$BA$32,20,FALSE))*IF(IFERROR(VLOOKUP(B63,'Machinery Input Tables'!$B$6:$AF$121,13,FALSE)='Machinery Input Tables'!$N$128,1),1,VLOOKUP(B63,'Machinery Input Tables'!$B$6:$AF$121,28,FALSE))*D63,"-")</f>
        <v>6.0752815232866446</v>
      </c>
      <c r="I63" s="132">
        <f t="shared" ref="I63:I72" si="2">IFERROR(IF(ISBLANK(AND(B63,C63)),"",SUM(G63:H63)),"-")</f>
        <v>10.03800469408664</v>
      </c>
    </row>
    <row r="64" spans="2:9">
      <c r="B64" s="129" t="s">
        <v>801</v>
      </c>
      <c r="C64" s="129" t="s">
        <v>649</v>
      </c>
      <c r="D64" s="130">
        <v>1</v>
      </c>
      <c r="E64" s="131">
        <f>IFERROR(IF(ISBLANK(C64),"",IF(OR(ISBLANK(B64),IFERROR(VLOOKUP(B64,'Machinery Input Tables'!$B$6:$AF$121,13,FALSE),"")='Machinery Input Tables'!$N$128),1,VLOOKUP(B64,'Machinery Input Tables'!$B$6:$AF$121,28,FALSE))*VLOOKUP(C64,'Machinery Input Tables'!$AH$6:$BA$32,19,FALSE))*D64,"-")</f>
        <v>0.63292307692307692</v>
      </c>
      <c r="F64" s="131">
        <f>IFERROR(IF(AND(ISBLANK(B64)*ISBLANK(C64)),"",IF(ISBLANK(B64),1,IF(VLOOKUP(B64,'Machinery Input Tables'!$B$6:$AF$121,13,FALSE)='Machinery Input Tables'!$N$128,VLOOKUP(B64,'Machinery Input Tables'!$B$6:$AF$121,17,FALSE),VLOOKUP(B64,'Machinery Input Tables'!$B$6:$AF$121,28,FALSE))))*D64,"-")</f>
        <v>4.230769230769231E-2</v>
      </c>
      <c r="G64" s="132">
        <f>IFERROR(IF(ISBLANK(C64),"",E64*'Machinery Input Tables'!$BP$10+F64*'Machinery Input Tables'!$BP$6+(VLOOKUP(C64,'Machinery Input Tables'!$AH$6:$BA$32,18,FALSE)*IF(IFERROR(VLOOKUP(B64,'Machinery Input Tables'!$B$6:$AF$121,13,FALSE)='Machinery Input Tables'!$N$128,1),1,VLOOKUP(B64,'Machinery Input Tables'!$B$6:$AF$121,28,FALSE))+IFERROR(VLOOKUP(B64,'Machinery Input Tables'!$B$6:$AF$121,27,FALSE),0))*D64),"-")</f>
        <v>10.594481701549864</v>
      </c>
      <c r="H64" s="132">
        <f>IFERROR((IFERROR(VLOOKUP(B64,'Machinery Input Tables'!$B$6:$AF$121,24,FALSE),0)+VLOOKUP(C64,'Machinery Input Tables'!$AH$6:$BA$32,20,FALSE))*IF(IFERROR(VLOOKUP(B64,'Machinery Input Tables'!$B$6:$AF$121,13,FALSE)='Machinery Input Tables'!$N$128,1),1,VLOOKUP(B64,'Machinery Input Tables'!$B$6:$AF$121,28,FALSE))*D64,"-")</f>
        <v>13.991922328083596</v>
      </c>
      <c r="I64" s="132">
        <f t="shared" si="2"/>
        <v>24.58640402963346</v>
      </c>
    </row>
    <row r="65" spans="2:9">
      <c r="B65" s="129" t="s">
        <v>694</v>
      </c>
      <c r="C65" s="129" t="s">
        <v>678</v>
      </c>
      <c r="D65" s="130">
        <v>2</v>
      </c>
      <c r="E65" s="131">
        <f>IFERROR(IF(ISBLANK(C65),"",IF(OR(ISBLANK(B65),IFERROR(VLOOKUP(B65,'Machinery Input Tables'!$B$6:$AF$121,13,FALSE),"")='Machinery Input Tables'!$N$128),1,VLOOKUP(B65,'Machinery Input Tables'!$B$6:$AF$121,28,FALSE))*VLOOKUP(C65,'Machinery Input Tables'!$AH$6:$BA$32,19,FALSE))*D65,"-")</f>
        <v>0.25208333333333333</v>
      </c>
      <c r="F65" s="131">
        <f>IFERROR(IF(AND(ISBLANK(B65)*ISBLANK(C65)),"",IF(ISBLANK(B65),1,IF(VLOOKUP(B65,'Machinery Input Tables'!$B$6:$AF$121,13,FALSE)='Machinery Input Tables'!$N$128,VLOOKUP(B65,'Machinery Input Tables'!$B$6:$AF$121,17,FALSE),VLOOKUP(B65,'Machinery Input Tables'!$B$6:$AF$121,28,FALSE))))*D65,"-")</f>
        <v>1.8333333333333333E-2</v>
      </c>
      <c r="G65" s="132">
        <f>IFERROR(IF(ISBLANK(C65),"",E65*'Machinery Input Tables'!$BP$10+F65*'Machinery Input Tables'!$BP$6+(VLOOKUP(C65,'Machinery Input Tables'!$AH$6:$BA$32,18,FALSE)*IF(IFERROR(VLOOKUP(B65,'Machinery Input Tables'!$B$6:$AF$121,13,FALSE)='Machinery Input Tables'!$N$128,1),1,VLOOKUP(B65,'Machinery Input Tables'!$B$6:$AF$121,28,FALSE))+IFERROR(VLOOKUP(B65,'Machinery Input Tables'!$B$6:$AF$121,27,FALSE),0))*D65),"-")</f>
        <v>5.6238073564489781</v>
      </c>
      <c r="H65" s="132">
        <f>IFERROR((IFERROR(VLOOKUP(B65,'Machinery Input Tables'!$B$6:$AF$121,24,FALSE),0)+VLOOKUP(C65,'Machinery Input Tables'!$AH$6:$BA$32,20,FALSE))*IF(IFERROR(VLOOKUP(B65,'Machinery Input Tables'!$B$6:$AF$121,13,FALSE)='Machinery Input Tables'!$N$128,1),1,VLOOKUP(B65,'Machinery Input Tables'!$B$6:$AF$121,28,FALSE))*D65,"-")</f>
        <v>3.2000737164930664</v>
      </c>
      <c r="I65" s="132">
        <f t="shared" si="2"/>
        <v>8.8238810729420436</v>
      </c>
    </row>
    <row r="66" spans="2:9">
      <c r="B66" s="129" t="s">
        <v>756</v>
      </c>
      <c r="C66" s="129" t="s">
        <v>926</v>
      </c>
      <c r="D66" s="130">
        <v>1</v>
      </c>
      <c r="E66" s="131">
        <f>IFERROR(IF(ISBLANK(C66),"",IF(OR(ISBLANK(B66),IFERROR(VLOOKUP(B66,'Machinery Input Tables'!$B$6:$AF$121,13,FALSE),"")='Machinery Input Tables'!$N$128),1,VLOOKUP(B66,'Machinery Input Tables'!$B$6:$AF$121,28,FALSE))*VLOOKUP(C66,'Machinery Input Tables'!$AH$6:$BA$32,19,FALSE))*D66,"-")</f>
        <v>2.2098214285714288</v>
      </c>
      <c r="F66" s="131">
        <f>IFERROR(IF(AND(ISBLANK(B66)*ISBLANK(C66)),"",IF(ISBLANK(B66),1,IF(VLOOKUP(B66,'Machinery Input Tables'!$B$6:$AF$121,13,FALSE)='Machinery Input Tables'!$N$128,VLOOKUP(B66,'Machinery Input Tables'!$B$6:$AF$121,17,FALSE),VLOOKUP(B66,'Machinery Input Tables'!$B$6:$AF$121,28,FALSE))))*D66,"-")</f>
        <v>7.3660714285714288E-2</v>
      </c>
      <c r="G66" s="132">
        <f>IFERROR(IF(ISBLANK(C66),"",E66*'Machinery Input Tables'!$BP$10+F66*'Machinery Input Tables'!$BP$6+(VLOOKUP(C66,'Machinery Input Tables'!$AH$6:$BA$32,18,FALSE)*IF(IFERROR(VLOOKUP(B66,'Machinery Input Tables'!$B$6:$AF$121,13,FALSE)='Machinery Input Tables'!$N$128,1),1,VLOOKUP(B66,'Machinery Input Tables'!$B$6:$AF$121,28,FALSE))+IFERROR(VLOOKUP(B66,'Machinery Input Tables'!$B$6:$AF$121,27,FALSE),0))*D66),"-")</f>
        <v>16.329768692922244</v>
      </c>
      <c r="H66" s="132">
        <f>IFERROR((IFERROR(VLOOKUP(B66,'Machinery Input Tables'!$B$6:$AF$121,24,FALSE),0)+VLOOKUP(C66,'Machinery Input Tables'!$AH$6:$BA$32,20,FALSE))*IF(IFERROR(VLOOKUP(B66,'Machinery Input Tables'!$B$6:$AF$121,13,FALSE)='Machinery Input Tables'!$N$128,1),1,VLOOKUP(B66,'Machinery Input Tables'!$B$6:$AF$121,28,FALSE))*D66,"-")</f>
        <v>23.103917063089519</v>
      </c>
      <c r="I66" s="132">
        <f t="shared" si="2"/>
        <v>39.433685756011762</v>
      </c>
    </row>
    <row r="67" spans="2:9">
      <c r="B67" s="129" t="s">
        <v>846</v>
      </c>
      <c r="C67" s="129" t="s">
        <v>693</v>
      </c>
      <c r="D67" s="130">
        <v>0.05</v>
      </c>
      <c r="E67" s="131">
        <f>IFERROR(IF(ISBLANK(C67),"",IF(OR(ISBLANK(B67),IFERROR(VLOOKUP(B67,'Machinery Input Tables'!$B$6:$AF$121,13,FALSE),"")='Machinery Input Tables'!$N$128),1,VLOOKUP(B67,'Machinery Input Tables'!$B$6:$AF$121,28,FALSE))*VLOOKUP(C67,'Machinery Input Tables'!$AH$6:$BA$32,19,FALSE))*D67,"-")</f>
        <v>0.61599999999999999</v>
      </c>
      <c r="F67" s="131">
        <f>IFERROR(IF(AND(ISBLANK(B67)*ISBLANK(C67)),"",IF(ISBLANK(B67),1,IF(VLOOKUP(B67,'Machinery Input Tables'!$B$6:$AF$121,13,FALSE)='Machinery Input Tables'!$N$128,VLOOKUP(B67,'Machinery Input Tables'!$B$6:$AF$121,17,FALSE),VLOOKUP(B67,'Machinery Input Tables'!$B$6:$AF$121,28,FALSE))))*D67,"-")</f>
        <v>5.7499999999999996E-2</v>
      </c>
      <c r="G67" s="132">
        <f>IFERROR(IF(ISBLANK(C67),"",E67*'Machinery Input Tables'!$BP$10+F67*'Machinery Input Tables'!$BP$6+(VLOOKUP(C67,'Machinery Input Tables'!$AH$6:$BA$32,18,FALSE)*IF(IFERROR(VLOOKUP(B67,'Machinery Input Tables'!$B$6:$AF$121,13,FALSE)='Machinery Input Tables'!$N$128,1),1,VLOOKUP(B67,'Machinery Input Tables'!$B$6:$AF$121,28,FALSE))+IFERROR(VLOOKUP(B67,'Machinery Input Tables'!$B$6:$AF$121,27,FALSE),0))*D67),"-")</f>
        <v>5.3801655065095373</v>
      </c>
      <c r="H67" s="132">
        <f>IFERROR((IFERROR(VLOOKUP(B67,'Machinery Input Tables'!$B$6:$AF$121,24,FALSE),0)+VLOOKUP(C67,'Machinery Input Tables'!$AH$6:$BA$32,20,FALSE))*IF(IFERROR(VLOOKUP(B67,'Machinery Input Tables'!$B$6:$AF$121,13,FALSE)='Machinery Input Tables'!$N$128,1),1,VLOOKUP(B67,'Machinery Input Tables'!$B$6:$AF$121,28,FALSE))*D67,"-")</f>
        <v>6.6402834680946832</v>
      </c>
      <c r="I67" s="132">
        <f t="shared" si="2"/>
        <v>12.020448974604221</v>
      </c>
    </row>
    <row r="68" spans="2:9">
      <c r="B68" s="129" t="s">
        <v>729</v>
      </c>
      <c r="C68" s="129" t="s">
        <v>849</v>
      </c>
      <c r="D68" s="130">
        <v>0.18</v>
      </c>
      <c r="E68" s="131">
        <f>IFERROR(IF(ISBLANK(C68),"",IF(OR(ISBLANK(B68),IFERROR(VLOOKUP(B68,'Machinery Input Tables'!$B$6:$AF$121,13,FALSE),"")='Machinery Input Tables'!$N$128),1,VLOOKUP(B68,'Machinery Input Tables'!$B$6:$AF$121,28,FALSE))*VLOOKUP(C68,'Machinery Input Tables'!$AH$6:$BA$32,19,FALSE))*D68,"-")</f>
        <v>1.2825</v>
      </c>
      <c r="F68" s="131">
        <f>IFERROR(IF(AND(ISBLANK(B68)*ISBLANK(C68)),"",IF(ISBLANK(B68),1,IF(VLOOKUP(B68,'Machinery Input Tables'!$B$6:$AF$121,13,FALSE)='Machinery Input Tables'!$N$128,VLOOKUP(B68,'Machinery Input Tables'!$B$6:$AF$121,17,FALSE),VLOOKUP(B68,'Machinery Input Tables'!$B$6:$AF$121,28,FALSE))))*D68,"-")</f>
        <v>0.19800000000000001</v>
      </c>
      <c r="G68" s="132">
        <f>IFERROR(IF(ISBLANK(C68),"",E68*'Machinery Input Tables'!$BP$10+F68*'Machinery Input Tables'!$BP$6+(VLOOKUP(C68,'Machinery Input Tables'!$AH$6:$BA$32,18,FALSE)*IF(IFERROR(VLOOKUP(B68,'Machinery Input Tables'!$B$6:$AF$121,13,FALSE)='Machinery Input Tables'!$N$128,1),1,VLOOKUP(B68,'Machinery Input Tables'!$B$6:$AF$121,28,FALSE))+IFERROR(VLOOKUP(B68,'Machinery Input Tables'!$B$6:$AF$121,27,FALSE),0))*D68),"-")</f>
        <v>13.118353829473072</v>
      </c>
      <c r="H68" s="132">
        <f>IFERROR((IFERROR(VLOOKUP(B68,'Machinery Input Tables'!$B$6:$AF$121,24,FALSE),0)+VLOOKUP(C68,'Machinery Input Tables'!$AH$6:$BA$32,20,FALSE))*IF(IFERROR(VLOOKUP(B68,'Machinery Input Tables'!$B$6:$AF$121,13,FALSE)='Machinery Input Tables'!$N$128,1),1,VLOOKUP(B68,'Machinery Input Tables'!$B$6:$AF$121,28,FALSE))*D68,"-")</f>
        <v>6.8017419265595676</v>
      </c>
      <c r="I68" s="132">
        <f t="shared" si="2"/>
        <v>19.920095756032641</v>
      </c>
    </row>
    <row r="69" spans="2:9">
      <c r="B69" s="129" t="s">
        <v>904</v>
      </c>
      <c r="C69" s="129" t="s">
        <v>804</v>
      </c>
      <c r="D69" s="130">
        <v>0.03</v>
      </c>
      <c r="E69" s="131">
        <f>IFERROR(IF(ISBLANK(C69),"",IF(OR(ISBLANK(B69),IFERROR(VLOOKUP(B69,'Machinery Input Tables'!$B$6:$AF$121,13,FALSE),"")='Machinery Input Tables'!$N$128),1,VLOOKUP(B69,'Machinery Input Tables'!$B$6:$AF$121,28,FALSE))*VLOOKUP(C69,'Machinery Input Tables'!$AH$6:$BA$32,19,FALSE))*D69,"-")</f>
        <v>0.17159999999999997</v>
      </c>
      <c r="F69" s="131">
        <f>IFERROR(IF(AND(ISBLANK(B69)*ISBLANK(C69)),"",IF(ISBLANK(B69),1,IF(VLOOKUP(B69,'Machinery Input Tables'!$B$6:$AF$121,13,FALSE)='Machinery Input Tables'!$N$128,VLOOKUP(B69,'Machinery Input Tables'!$B$6:$AF$121,17,FALSE),VLOOKUP(B69,'Machinery Input Tables'!$B$6:$AF$121,28,FALSE))))*D69,"-")</f>
        <v>3.15E-2</v>
      </c>
      <c r="G69" s="132">
        <f>IFERROR(IF(ISBLANK(C69),"",E69*'Machinery Input Tables'!$BP$10+F69*'Machinery Input Tables'!$BP$6+(VLOOKUP(C69,'Machinery Input Tables'!$AH$6:$BA$32,18,FALSE)*IF(IFERROR(VLOOKUP(B69,'Machinery Input Tables'!$B$6:$AF$121,13,FALSE)='Machinery Input Tables'!$N$128,1),1,VLOOKUP(B69,'Machinery Input Tables'!$B$6:$AF$121,28,FALSE))+IFERROR(VLOOKUP(B69,'Machinery Input Tables'!$B$6:$AF$121,27,FALSE),0))*D69),"-")</f>
        <v>1.7119003913284185</v>
      </c>
      <c r="H69" s="132">
        <f>IFERROR((IFERROR(VLOOKUP(B69,'Machinery Input Tables'!$B$6:$AF$121,24,FALSE),0)+VLOOKUP(C69,'Machinery Input Tables'!$AH$6:$BA$32,20,FALSE))*IF(IFERROR(VLOOKUP(B69,'Machinery Input Tables'!$B$6:$AF$121,13,FALSE)='Machinery Input Tables'!$N$128,1),1,VLOOKUP(B69,'Machinery Input Tables'!$B$6:$AF$121,28,FALSE))*D69,"-")</f>
        <v>1.3218188814446339</v>
      </c>
      <c r="I69" s="132">
        <f t="shared" si="2"/>
        <v>3.0337192727730526</v>
      </c>
    </row>
    <row r="70" spans="2:9">
      <c r="B70" s="129"/>
      <c r="C70" s="129" t="s">
        <v>695</v>
      </c>
      <c r="D70" s="130">
        <v>0.25</v>
      </c>
      <c r="E70" s="131">
        <f>IFERROR(IF(ISBLANK(C70),"",IF(OR(ISBLANK(B70),IFERROR(VLOOKUP(B70,'Machinery Input Tables'!$B$6:$AF$121,13,FALSE),"")='Machinery Input Tables'!$N$128),1,VLOOKUP(B70,'Machinery Input Tables'!$B$6:$AF$121,28,FALSE))*VLOOKUP(C70,'Machinery Input Tables'!$AH$6:$BA$32,19,FALSE))*D70,"-")</f>
        <v>0.75</v>
      </c>
      <c r="F70" s="131">
        <f>IFERROR(IF(AND(ISBLANK(B70)*ISBLANK(C70)),"",IF(ISBLANK(B70),1,IF(VLOOKUP(B70,'Machinery Input Tables'!$B$6:$AF$121,13,FALSE)='Machinery Input Tables'!$N$128,VLOOKUP(B70,'Machinery Input Tables'!$B$6:$AF$121,17,FALSE),VLOOKUP(B70,'Machinery Input Tables'!$B$6:$AF$121,28,FALSE))))*D70,"-")</f>
        <v>0.25</v>
      </c>
      <c r="G70" s="132">
        <f>IFERROR(IF(ISBLANK(C70),"",E70*'Machinery Input Tables'!$BP$10+F70*'Machinery Input Tables'!$BP$6+(VLOOKUP(C70,'Machinery Input Tables'!$AH$6:$BA$32,18,FALSE)*IF(IFERROR(VLOOKUP(B70,'Machinery Input Tables'!$B$6:$AF$121,13,FALSE)='Machinery Input Tables'!$N$128,1),1,VLOOKUP(B70,'Machinery Input Tables'!$B$6:$AF$121,28,FALSE))+IFERROR(VLOOKUP(B70,'Machinery Input Tables'!$B$6:$AF$121,27,FALSE),0))*D70),"-")</f>
        <v>12.05</v>
      </c>
      <c r="H70" s="132">
        <f>IFERROR((IFERROR(VLOOKUP(B70,'Machinery Input Tables'!$B$6:$AF$121,24,FALSE),0)+VLOOKUP(C70,'Machinery Input Tables'!$AH$6:$BA$32,20,FALSE))*IF(IFERROR(VLOOKUP(B70,'Machinery Input Tables'!$B$6:$AF$121,13,FALSE)='Machinery Input Tables'!$N$128,1),1,VLOOKUP(B70,'Machinery Input Tables'!$B$6:$AF$121,28,FALSE))*D70,"-")</f>
        <v>4.9630979032408344</v>
      </c>
      <c r="I70" s="132">
        <f t="shared" si="2"/>
        <v>17.013097903240833</v>
      </c>
    </row>
    <row r="71" spans="2:9">
      <c r="B71" s="129"/>
      <c r="C71" s="129"/>
      <c r="D71" s="130"/>
      <c r="E71" s="131" t="str">
        <f>IFERROR(IF(ISBLANK(C71),"",IF(OR(ISBLANK(B71),IFERROR(VLOOKUP(B71,'Machinery Input Tables'!$B$6:$AF$121,13,FALSE),"")='Machinery Input Tables'!$N$128),1,VLOOKUP(B71,'Machinery Input Tables'!$B$6:$AF$121,28,FALSE))*VLOOKUP(C71,'Machinery Input Tables'!$AH$6:$BA$32,19,FALSE))*D71,"-")</f>
        <v>-</v>
      </c>
      <c r="F71" s="131" t="str">
        <f>IFERROR(IF(AND(ISBLANK(B71)*ISBLANK(C71)),"",IF(ISBLANK(B71),1,IF(VLOOKUP(B71,'Machinery Input Tables'!$B$6:$AF$121,13,FALSE)='Machinery Input Tables'!$N$128,VLOOKUP(B71,'Machinery Input Tables'!$B$6:$AF$121,17,FALSE),VLOOKUP(B71,'Machinery Input Tables'!$B$6:$AF$121,28,FALSE))))*D71,"-")</f>
        <v>-</v>
      </c>
      <c r="G71" s="132" t="str">
        <f>IFERROR(IF(ISBLANK(C71),"",E71*'Machinery Input Tables'!$BP$10+F71*'Machinery Input Tables'!$BP$6+(VLOOKUP(C71,'Machinery Input Tables'!$AH$6:$BA$32,18,FALSE)*IF(IFERROR(VLOOKUP(B71,'Machinery Input Tables'!$B$6:$AF$121,13,FALSE)='Machinery Input Tables'!$N$128,1),1,VLOOKUP(B71,'Machinery Input Tables'!$B$6:$AF$121,28,FALSE))+IFERROR(VLOOKUP(B71,'Machinery Input Tables'!$B$6:$AF$121,27,FALSE),0))*D71),"-")</f>
        <v/>
      </c>
      <c r="H71" s="132" t="str">
        <f>IFERROR((IFERROR(VLOOKUP(B71,'Machinery Input Tables'!$B$6:$AF$121,24,FALSE),0)+VLOOKUP(C71,'Machinery Input Tables'!$AH$6:$BA$32,20,FALSE))*IF(IFERROR(VLOOKUP(B71,'Machinery Input Tables'!$B$6:$AF$121,13,FALSE)='Machinery Input Tables'!$N$128,1),1,VLOOKUP(B71,'Machinery Input Tables'!$B$6:$AF$121,28,FALSE))*D71,"-")</f>
        <v>-</v>
      </c>
      <c r="I71" s="132">
        <f t="shared" si="2"/>
        <v>0</v>
      </c>
    </row>
    <row r="72" spans="2:9">
      <c r="B72" s="133"/>
      <c r="C72" s="133"/>
      <c r="D72" s="134"/>
      <c r="E72" s="135" t="str">
        <f>IFERROR(IF(ISBLANK(C72),"",IF(OR(ISBLANK(B72),IFERROR(VLOOKUP(B72,'Machinery Input Tables'!$B$6:$AF$121,13,FALSE),"")='Machinery Input Tables'!$N$128),1,VLOOKUP(B72,'Machinery Input Tables'!$B$6:$AF$121,28,FALSE))*VLOOKUP(C72,'Machinery Input Tables'!$AH$6:$BA$32,19,FALSE))*D72,"-")</f>
        <v>-</v>
      </c>
      <c r="F72" s="135" t="str">
        <f>IFERROR(IF(AND(ISBLANK(B72)*ISBLANK(C72)),"",IF(ISBLANK(B72),1,IF(VLOOKUP(B72,'Machinery Input Tables'!$B$6:$AF$121,13,FALSE)='Machinery Input Tables'!$N$128,VLOOKUP(B72,'Machinery Input Tables'!$B$6:$AF$121,17,FALSE),VLOOKUP(B72,'Machinery Input Tables'!$B$6:$AF$121,28,FALSE))))*D72,"-")</f>
        <v>-</v>
      </c>
      <c r="G72" s="136" t="str">
        <f>IFERROR(IF(ISBLANK(C72),"",E72*'Machinery Input Tables'!$BP$10+F72*'Machinery Input Tables'!$BP$6+(VLOOKUP(C72,'Machinery Input Tables'!$AH$6:$BA$32,18,FALSE)*IF(IFERROR(VLOOKUP(B72,'Machinery Input Tables'!$B$6:$AF$121,13,FALSE)='Machinery Input Tables'!$N$128,1),1,VLOOKUP(B72,'Machinery Input Tables'!$B$6:$AF$121,28,FALSE))+IFERROR(VLOOKUP(B72,'Machinery Input Tables'!$B$6:$AF$121,27,FALSE),0))*D72),"-")</f>
        <v/>
      </c>
      <c r="H72" s="136" t="str">
        <f>IFERROR((IFERROR(VLOOKUP(B72,'Machinery Input Tables'!$B$6:$AF$121,24,FALSE),0)+VLOOKUP(C72,'Machinery Input Tables'!$AH$6:$BA$32,20,FALSE))*IF(IFERROR(VLOOKUP(B72,'Machinery Input Tables'!$B$6:$AF$121,13,FALSE)='Machinery Input Tables'!$N$128,1),1,VLOOKUP(B72,'Machinery Input Tables'!$B$6:$AF$121,28,FALSE))*D72,"-")</f>
        <v>-</v>
      </c>
      <c r="I72" s="136">
        <f t="shared" si="2"/>
        <v>0</v>
      </c>
    </row>
    <row r="73" spans="2:9">
      <c r="B73" s="126"/>
      <c r="C73" s="137" t="s">
        <v>19</v>
      </c>
      <c r="D73" s="138"/>
      <c r="E73" s="139">
        <f>SUM(E62:E72)</f>
        <v>7.8883802197802195</v>
      </c>
      <c r="F73" s="139">
        <f t="shared" ref="F73:I73" si="3">SUM(F62:F72)</f>
        <v>0.80321700603318247</v>
      </c>
      <c r="G73" s="140">
        <f t="shared" si="3"/>
        <v>82.537265578804593</v>
      </c>
      <c r="H73" s="140">
        <f t="shared" si="3"/>
        <v>87.270705824875279</v>
      </c>
      <c r="I73" s="140">
        <f t="shared" si="3"/>
        <v>169.80797140367989</v>
      </c>
    </row>
    <row r="74" spans="2:9">
      <c r="B74" s="141" t="s">
        <v>874</v>
      </c>
      <c r="C74" s="72"/>
      <c r="D74" s="72"/>
      <c r="E74" s="72"/>
      <c r="F74" s="72"/>
      <c r="G74" s="72"/>
      <c r="H74" s="72"/>
    </row>
    <row r="75" spans="2:9">
      <c r="B75" s="141" t="s">
        <v>875</v>
      </c>
      <c r="C75" s="72"/>
      <c r="D75" s="72"/>
      <c r="E75" s="72"/>
      <c r="F75" s="72"/>
      <c r="G75" s="72"/>
      <c r="H75" s="72"/>
    </row>
    <row r="76" spans="2:9">
      <c r="B76" s="72"/>
      <c r="C76" s="72"/>
      <c r="D76" s="72"/>
      <c r="E76" s="72"/>
      <c r="F76" s="72"/>
      <c r="G76" s="72"/>
      <c r="H76" s="72"/>
    </row>
    <row r="77" spans="2:9" hidden="1">
      <c r="B77" s="72"/>
      <c r="C77" s="72"/>
      <c r="D77" s="72"/>
      <c r="E77" s="72"/>
      <c r="F77" s="72"/>
      <c r="G77" s="72"/>
      <c r="H77" s="72"/>
    </row>
    <row r="78" spans="2:9" hidden="1">
      <c r="H78" s="72"/>
    </row>
    <row r="79" spans="2:9" hidden="1">
      <c r="H79" s="72"/>
    </row>
    <row r="80" spans="2:9" hidden="1">
      <c r="H80" s="72"/>
    </row>
    <row r="81" spans="2:8" hidden="1">
      <c r="H81" s="72"/>
    </row>
    <row r="82" spans="2:8" hidden="1">
      <c r="H82" s="72"/>
    </row>
    <row r="83" spans="2:8" hidden="1">
      <c r="H83" s="72"/>
    </row>
    <row r="84" spans="2:8" hidden="1">
      <c r="H84" s="72"/>
    </row>
    <row r="85" spans="2:8" hidden="1">
      <c r="H85" s="72"/>
    </row>
    <row r="86" spans="2:8" hidden="1">
      <c r="H86" s="72"/>
    </row>
    <row r="87" spans="2:8" hidden="1">
      <c r="H87" s="72"/>
    </row>
    <row r="88" spans="2:8" hidden="1">
      <c r="B88" s="72"/>
      <c r="C88" s="72"/>
      <c r="D88" s="72"/>
      <c r="E88" s="74" t="s">
        <v>803</v>
      </c>
      <c r="F88" s="142">
        <f>F46</f>
        <v>25.426441469088395</v>
      </c>
      <c r="G88" s="72"/>
      <c r="H88" s="72"/>
    </row>
    <row r="89" spans="2:8" hidden="1">
      <c r="B89" s="72"/>
      <c r="C89" s="72"/>
      <c r="D89" s="72"/>
      <c r="E89" s="72"/>
      <c r="F89" s="72"/>
      <c r="G89" s="72"/>
      <c r="H89" s="72"/>
    </row>
    <row r="90" spans="2:8" hidden="1">
      <c r="H90" s="72"/>
    </row>
    <row r="91" spans="2:8" hidden="1">
      <c r="H91" s="72"/>
    </row>
    <row r="92" spans="2:8" hidden="1">
      <c r="H92" s="72"/>
    </row>
    <row r="93" spans="2:8" hidden="1">
      <c r="H93" s="72"/>
    </row>
    <row r="104" spans="8:8" hidden="1">
      <c r="H104" s="72"/>
    </row>
    <row r="105" spans="8:8" hidden="1">
      <c r="H105" s="72"/>
    </row>
    <row r="933" spans="2:3" hidden="1">
      <c r="B933" s="3" t="s">
        <v>41</v>
      </c>
    </row>
    <row r="934" spans="2:3" hidden="1">
      <c r="B934" s="3" t="s">
        <v>42</v>
      </c>
      <c r="C934" s="3">
        <v>5</v>
      </c>
    </row>
    <row r="935" spans="2:3" hidden="1">
      <c r="B935" s="3" t="s">
        <v>43</v>
      </c>
      <c r="C935" s="3">
        <v>1</v>
      </c>
    </row>
    <row r="936" spans="2:3" hidden="1">
      <c r="B936" s="3" t="s">
        <v>44</v>
      </c>
      <c r="C936" s="3">
        <v>1</v>
      </c>
    </row>
    <row r="937" spans="2:3" hidden="1">
      <c r="B937" s="3" t="s">
        <v>45</v>
      </c>
      <c r="C937" s="3">
        <v>2</v>
      </c>
    </row>
    <row r="938" spans="2:3" hidden="1">
      <c r="B938" s="3" t="s">
        <v>46</v>
      </c>
      <c r="C938" s="3">
        <v>1</v>
      </c>
    </row>
    <row r="939" spans="2:3" hidden="1">
      <c r="B939" s="3" t="s">
        <v>47</v>
      </c>
      <c r="C939" s="3">
        <v>0</v>
      </c>
    </row>
    <row r="940" spans="2:3" hidden="1">
      <c r="B940" s="3" t="s">
        <v>48</v>
      </c>
      <c r="C940" s="3">
        <v>0</v>
      </c>
    </row>
    <row r="941" spans="2:3" hidden="1">
      <c r="B941" s="3" t="s">
        <v>49</v>
      </c>
      <c r="C941" s="3">
        <v>0</v>
      </c>
    </row>
    <row r="942" spans="2:3" hidden="1">
      <c r="B942" s="3" t="s">
        <v>50</v>
      </c>
      <c r="C942" s="3">
        <v>0</v>
      </c>
    </row>
    <row r="943" spans="2:3" hidden="1">
      <c r="B943" s="3" t="s">
        <v>51</v>
      </c>
      <c r="C943" s="3">
        <v>0</v>
      </c>
    </row>
    <row r="944" spans="2:3" hidden="1">
      <c r="B944" s="3" t="s">
        <v>52</v>
      </c>
      <c r="C944" s="3">
        <v>0</v>
      </c>
    </row>
    <row r="945" spans="2:3" hidden="1">
      <c r="B945" s="3" t="s">
        <v>53</v>
      </c>
      <c r="C945" s="3" t="b">
        <v>1</v>
      </c>
    </row>
    <row r="946" spans="2:3" hidden="1">
      <c r="B946" s="3" t="s">
        <v>54</v>
      </c>
      <c r="C946" s="3">
        <v>0</v>
      </c>
    </row>
    <row r="947" spans="2:3" hidden="1">
      <c r="B947" s="3" t="s">
        <v>55</v>
      </c>
      <c r="C947" s="3" t="b">
        <v>1</v>
      </c>
    </row>
    <row r="948" spans="2:3" hidden="1">
      <c r="B948" s="3" t="s">
        <v>56</v>
      </c>
      <c r="C948" s="3">
        <v>0</v>
      </c>
    </row>
    <row r="949" spans="2:3" hidden="1">
      <c r="B949" s="3" t="s">
        <v>57</v>
      </c>
      <c r="C949" s="3">
        <v>0</v>
      </c>
    </row>
    <row r="950" spans="2:3" hidden="1">
      <c r="B950" s="3" t="s">
        <v>58</v>
      </c>
      <c r="C950" s="3" t="b">
        <v>1</v>
      </c>
    </row>
    <row r="951" spans="2:3" hidden="1">
      <c r="B951" s="3" t="s">
        <v>59</v>
      </c>
      <c r="C951" s="3">
        <v>0</v>
      </c>
    </row>
    <row r="952" spans="2:3" hidden="1">
      <c r="B952" s="3" t="s">
        <v>60</v>
      </c>
      <c r="C952" s="3">
        <v>0</v>
      </c>
    </row>
    <row r="953" spans="2:3" hidden="1">
      <c r="B953" s="3" t="s">
        <v>61</v>
      </c>
      <c r="C953" s="3">
        <v>0</v>
      </c>
    </row>
    <row r="954" spans="2:3" hidden="1">
      <c r="B954" s="3" t="s">
        <v>62</v>
      </c>
      <c r="C954" s="3">
        <v>0</v>
      </c>
    </row>
    <row r="955" spans="2:3" hidden="1">
      <c r="B955" s="3" t="s">
        <v>63</v>
      </c>
      <c r="C955" s="3" t="s">
        <v>358</v>
      </c>
    </row>
    <row r="956" spans="2:3" hidden="1">
      <c r="B956" s="3" t="s">
        <v>64</v>
      </c>
      <c r="C956" s="3">
        <v>100</v>
      </c>
    </row>
    <row r="957" spans="2:3" hidden="1">
      <c r="B957" s="3" t="s">
        <v>65</v>
      </c>
      <c r="C957" s="3">
        <v>25</v>
      </c>
    </row>
    <row r="958" spans="2:3" hidden="1">
      <c r="B958" s="3" t="s">
        <v>66</v>
      </c>
      <c r="C958" s="3">
        <v>9</v>
      </c>
    </row>
    <row r="959" spans="2:3" hidden="1">
      <c r="B959" s="3" t="s">
        <v>67</v>
      </c>
      <c r="C959" s="3">
        <v>0</v>
      </c>
    </row>
    <row r="960" spans="2:3" hidden="1">
      <c r="B960" s="3" t="s">
        <v>68</v>
      </c>
      <c r="C960" s="3">
        <v>0</v>
      </c>
    </row>
    <row r="961" spans="2:3" hidden="1">
      <c r="B961" s="3" t="s">
        <v>69</v>
      </c>
      <c r="C961" s="3">
        <v>0</v>
      </c>
    </row>
    <row r="962" spans="2:3" hidden="1">
      <c r="B962" s="3" t="s">
        <v>70</v>
      </c>
      <c r="C962" s="3">
        <v>0</v>
      </c>
    </row>
    <row r="963" spans="2:3" hidden="1">
      <c r="B963" s="3" t="s">
        <v>71</v>
      </c>
      <c r="C963" s="3">
        <v>0</v>
      </c>
    </row>
    <row r="964" spans="2:3" hidden="1">
      <c r="B964" s="3" t="s">
        <v>72</v>
      </c>
      <c r="C964" s="3">
        <v>60</v>
      </c>
    </row>
    <row r="965" spans="2:3" hidden="1">
      <c r="B965" s="3" t="s">
        <v>73</v>
      </c>
      <c r="C965" s="3">
        <v>0</v>
      </c>
    </row>
    <row r="966" spans="2:3" hidden="1">
      <c r="B966" s="3" t="s">
        <v>74</v>
      </c>
      <c r="C966" s="3">
        <v>0</v>
      </c>
    </row>
    <row r="967" spans="2:3" hidden="1">
      <c r="B967" s="3" t="s">
        <v>75</v>
      </c>
      <c r="C967" s="3">
        <v>0</v>
      </c>
    </row>
    <row r="968" spans="2:3" hidden="1">
      <c r="B968" s="3" t="s">
        <v>76</v>
      </c>
      <c r="C968" s="3">
        <v>0</v>
      </c>
    </row>
    <row r="969" spans="2:3" hidden="1">
      <c r="B969" s="3" t="s">
        <v>77</v>
      </c>
      <c r="C969" s="3">
        <v>0</v>
      </c>
    </row>
    <row r="970" spans="2:3" hidden="1">
      <c r="B970" s="3" t="s">
        <v>78</v>
      </c>
      <c r="C970" s="3">
        <v>200000</v>
      </c>
    </row>
    <row r="971" spans="2:3" hidden="1">
      <c r="B971" s="3" t="s">
        <v>79</v>
      </c>
      <c r="C971" s="3">
        <v>0</v>
      </c>
    </row>
    <row r="972" spans="2:3" hidden="1">
      <c r="B972" s="3" t="s">
        <v>80</v>
      </c>
      <c r="C972" s="3">
        <v>0</v>
      </c>
    </row>
    <row r="973" spans="2:3" hidden="1">
      <c r="B973" s="3" t="s">
        <v>81</v>
      </c>
      <c r="C973" s="3">
        <v>0</v>
      </c>
    </row>
    <row r="974" spans="2:3" hidden="1">
      <c r="B974" s="3" t="s">
        <v>82</v>
      </c>
      <c r="C974" s="3">
        <v>0</v>
      </c>
    </row>
    <row r="975" spans="2:3" hidden="1">
      <c r="B975" s="3" t="s">
        <v>83</v>
      </c>
      <c r="C975" s="3">
        <v>0</v>
      </c>
    </row>
    <row r="976" spans="2:3" hidden="1">
      <c r="B976" s="3" t="s">
        <v>84</v>
      </c>
      <c r="C976" s="3">
        <v>0</v>
      </c>
    </row>
    <row r="977" spans="2:3" hidden="1">
      <c r="B977" s="3" t="s">
        <v>85</v>
      </c>
      <c r="C977" s="3">
        <v>0</v>
      </c>
    </row>
    <row r="978" spans="2:3" hidden="1">
      <c r="B978" s="3" t="s">
        <v>86</v>
      </c>
      <c r="C978" s="3">
        <v>20</v>
      </c>
    </row>
    <row r="979" spans="2:3" hidden="1">
      <c r="B979" s="3" t="s">
        <v>87</v>
      </c>
      <c r="C979" s="3">
        <v>35</v>
      </c>
    </row>
    <row r="980" spans="2:3" hidden="1">
      <c r="B980" s="3" t="s">
        <v>88</v>
      </c>
      <c r="C980" s="3">
        <v>0</v>
      </c>
    </row>
    <row r="981" spans="2:3" hidden="1">
      <c r="B981" s="3" t="s">
        <v>89</v>
      </c>
      <c r="C981" s="3">
        <v>0</v>
      </c>
    </row>
    <row r="982" spans="2:3" hidden="1">
      <c r="B982" s="3" t="s">
        <v>90</v>
      </c>
      <c r="C982" s="3">
        <v>0</v>
      </c>
    </row>
    <row r="983" spans="2:3" hidden="1">
      <c r="B983" s="3" t="s">
        <v>91</v>
      </c>
      <c r="C983" s="3">
        <v>0</v>
      </c>
    </row>
    <row r="984" spans="2:3" hidden="1">
      <c r="B984" s="3" t="s">
        <v>92</v>
      </c>
      <c r="C984" s="3">
        <v>0</v>
      </c>
    </row>
    <row r="985" spans="2:3" hidden="1">
      <c r="B985" s="3" t="s">
        <v>93</v>
      </c>
      <c r="C985" s="3">
        <v>0</v>
      </c>
    </row>
    <row r="986" spans="2:3" hidden="1">
      <c r="B986" s="3" t="s">
        <v>94</v>
      </c>
      <c r="C986" s="3">
        <v>0.49</v>
      </c>
    </row>
    <row r="987" spans="2:3" hidden="1">
      <c r="B987" s="3" t="s">
        <v>95</v>
      </c>
      <c r="C987" s="3">
        <v>0.4</v>
      </c>
    </row>
    <row r="988" spans="2:3" hidden="1">
      <c r="B988" s="3" t="s">
        <v>96</v>
      </c>
      <c r="C988" s="3">
        <v>0</v>
      </c>
    </row>
    <row r="989" spans="2:3" hidden="1">
      <c r="B989" s="3" t="s">
        <v>97</v>
      </c>
      <c r="C989" s="3">
        <v>0</v>
      </c>
    </row>
    <row r="990" spans="2:3" hidden="1">
      <c r="B990" s="3" t="s">
        <v>98</v>
      </c>
      <c r="C990" s="3">
        <v>0</v>
      </c>
    </row>
    <row r="991" spans="2:3" hidden="1">
      <c r="B991" s="3" t="s">
        <v>99</v>
      </c>
      <c r="C991" s="3">
        <v>0</v>
      </c>
    </row>
    <row r="992" spans="2:3" hidden="1">
      <c r="B992" s="3" t="s">
        <v>100</v>
      </c>
      <c r="C992" s="3">
        <v>0</v>
      </c>
    </row>
    <row r="993" spans="2:3" hidden="1">
      <c r="B993" s="3" t="s">
        <v>101</v>
      </c>
      <c r="C993" s="3">
        <v>0</v>
      </c>
    </row>
    <row r="994" spans="2:3" hidden="1">
      <c r="B994" s="3" t="s">
        <v>102</v>
      </c>
      <c r="C994" s="3">
        <v>1</v>
      </c>
    </row>
    <row r="995" spans="2:3" hidden="1">
      <c r="B995" s="3" t="s">
        <v>103</v>
      </c>
      <c r="C995" s="3">
        <v>0</v>
      </c>
    </row>
    <row r="996" spans="2:3" hidden="1">
      <c r="B996" s="3" t="s">
        <v>104</v>
      </c>
      <c r="C996" s="3">
        <v>0</v>
      </c>
    </row>
    <row r="997" spans="2:3" hidden="1">
      <c r="B997" s="3" t="s">
        <v>105</v>
      </c>
      <c r="C997" s="3">
        <v>1</v>
      </c>
    </row>
    <row r="998" spans="2:3" hidden="1">
      <c r="B998" s="3" t="s">
        <v>106</v>
      </c>
      <c r="C998" s="3">
        <v>0</v>
      </c>
    </row>
    <row r="999" spans="2:3" hidden="1">
      <c r="B999" s="3" t="s">
        <v>107</v>
      </c>
      <c r="C999" s="3">
        <v>0</v>
      </c>
    </row>
    <row r="1000" spans="2:3" hidden="1">
      <c r="B1000" s="3" t="s">
        <v>108</v>
      </c>
      <c r="C1000" s="3">
        <v>0</v>
      </c>
    </row>
    <row r="1001" spans="2:3" hidden="1">
      <c r="B1001" s="3" t="s">
        <v>109</v>
      </c>
      <c r="C1001" s="3">
        <v>0</v>
      </c>
    </row>
    <row r="1002" spans="2:3" hidden="1">
      <c r="B1002" s="3" t="s">
        <v>110</v>
      </c>
      <c r="C1002" s="3">
        <v>8.75</v>
      </c>
    </row>
    <row r="1003" spans="2:3" hidden="1">
      <c r="B1003" s="3" t="s">
        <v>111</v>
      </c>
      <c r="C1003" s="3">
        <v>0</v>
      </c>
    </row>
    <row r="1004" spans="2:3" hidden="1">
      <c r="B1004" s="3" t="s">
        <v>112</v>
      </c>
      <c r="C1004" s="3">
        <v>0</v>
      </c>
    </row>
    <row r="1005" spans="2:3" hidden="1">
      <c r="B1005" s="3" t="s">
        <v>113</v>
      </c>
      <c r="C1005" s="3">
        <v>0</v>
      </c>
    </row>
    <row r="1006" spans="2:3" hidden="1">
      <c r="B1006" s="3" t="s">
        <v>114</v>
      </c>
      <c r="C1006" s="3">
        <v>0</v>
      </c>
    </row>
    <row r="1007" spans="2:3" hidden="1">
      <c r="B1007" s="3" t="s">
        <v>115</v>
      </c>
      <c r="C1007" s="3">
        <v>0</v>
      </c>
    </row>
    <row r="1008" spans="2:3" hidden="1">
      <c r="B1008" s="3" t="s">
        <v>116</v>
      </c>
      <c r="C1008" s="3">
        <v>0</v>
      </c>
    </row>
    <row r="1009" spans="2:3" hidden="1">
      <c r="B1009" s="3" t="s">
        <v>117</v>
      </c>
      <c r="C1009" s="3">
        <v>0</v>
      </c>
    </row>
    <row r="1010" spans="2:3" hidden="1">
      <c r="B1010" s="3" t="s">
        <v>118</v>
      </c>
      <c r="C1010" s="3">
        <v>0</v>
      </c>
    </row>
    <row r="1011" spans="2:3" hidden="1">
      <c r="B1011" s="3" t="s">
        <v>119</v>
      </c>
      <c r="C1011" s="3">
        <v>0</v>
      </c>
    </row>
    <row r="1012" spans="2:3" hidden="1">
      <c r="B1012" s="3" t="s">
        <v>120</v>
      </c>
      <c r="C1012" s="3">
        <v>0</v>
      </c>
    </row>
    <row r="1013" spans="2:3" hidden="1">
      <c r="B1013" s="3" t="s">
        <v>121</v>
      </c>
      <c r="C1013" s="3">
        <v>0</v>
      </c>
    </row>
    <row r="1014" spans="2:3" hidden="1">
      <c r="B1014" s="3" t="s">
        <v>122</v>
      </c>
      <c r="C1014" s="3">
        <v>0</v>
      </c>
    </row>
    <row r="1015" spans="2:3" hidden="1">
      <c r="B1015" s="3" t="s">
        <v>123</v>
      </c>
      <c r="C1015" s="3">
        <v>0</v>
      </c>
    </row>
    <row r="1016" spans="2:3" hidden="1">
      <c r="B1016" s="3" t="s">
        <v>124</v>
      </c>
      <c r="C1016" s="3">
        <v>0</v>
      </c>
    </row>
    <row r="1017" spans="2:3" hidden="1">
      <c r="B1017" s="3" t="s">
        <v>125</v>
      </c>
      <c r="C1017" s="3">
        <v>0.5</v>
      </c>
    </row>
    <row r="1018" spans="2:3" hidden="1">
      <c r="B1018" s="3" t="s">
        <v>126</v>
      </c>
      <c r="C1018" s="3">
        <v>13.5</v>
      </c>
    </row>
    <row r="1019" spans="2:3" hidden="1">
      <c r="B1019" s="3" t="s">
        <v>127</v>
      </c>
      <c r="C1019" s="3">
        <v>18</v>
      </c>
    </row>
    <row r="1020" spans="2:3" hidden="1">
      <c r="B1020" s="3" t="s">
        <v>128</v>
      </c>
      <c r="C1020" s="3">
        <v>0</v>
      </c>
    </row>
    <row r="1021" spans="2:3" hidden="1">
      <c r="B1021" s="3" t="s">
        <v>129</v>
      </c>
      <c r="C1021" s="3">
        <v>0</v>
      </c>
    </row>
    <row r="1022" spans="2:3" hidden="1">
      <c r="B1022" s="3" t="s">
        <v>130</v>
      </c>
      <c r="C1022" s="3">
        <v>0</v>
      </c>
    </row>
    <row r="1023" spans="2:3" hidden="1">
      <c r="B1023" s="3" t="s">
        <v>131</v>
      </c>
      <c r="C1023" s="3">
        <v>3600</v>
      </c>
    </row>
    <row r="1024" spans="2:3" hidden="1">
      <c r="B1024" s="3" t="s">
        <v>132</v>
      </c>
      <c r="C1024" s="3">
        <v>0</v>
      </c>
    </row>
    <row r="1025" spans="2:3" hidden="1">
      <c r="B1025" s="3" t="s">
        <v>133</v>
      </c>
      <c r="C1025" s="3">
        <v>0</v>
      </c>
    </row>
    <row r="1026" spans="2:3" hidden="1">
      <c r="B1026" s="3" t="s">
        <v>134</v>
      </c>
      <c r="C1026" s="3">
        <v>0</v>
      </c>
    </row>
    <row r="1027" spans="2:3" hidden="1">
      <c r="B1027" s="3" t="s">
        <v>135</v>
      </c>
      <c r="C1027" s="3">
        <v>0</v>
      </c>
    </row>
    <row r="1028" spans="2:3" hidden="1">
      <c r="B1028" s="3" t="s">
        <v>136</v>
      </c>
      <c r="C1028" s="3">
        <v>6</v>
      </c>
    </row>
    <row r="1029" spans="2:3" hidden="1">
      <c r="B1029" s="3" t="s">
        <v>137</v>
      </c>
      <c r="C1029" s="3">
        <v>3.65</v>
      </c>
    </row>
    <row r="1030" spans="2:3" hidden="1">
      <c r="B1030" s="3" t="s">
        <v>138</v>
      </c>
      <c r="C1030" s="3">
        <v>3.38</v>
      </c>
    </row>
    <row r="1031" spans="2:3" hidden="1">
      <c r="B1031" s="3" t="s">
        <v>139</v>
      </c>
      <c r="C1031" s="3">
        <v>0</v>
      </c>
    </row>
    <row r="1032" spans="2:3" hidden="1">
      <c r="B1032" s="3" t="s">
        <v>140</v>
      </c>
      <c r="C1032" s="3">
        <v>0</v>
      </c>
    </row>
    <row r="1033" spans="2:3" hidden="1">
      <c r="B1033" s="3" t="s">
        <v>141</v>
      </c>
      <c r="C1033" s="3">
        <v>0</v>
      </c>
    </row>
    <row r="1034" spans="2:3" hidden="1">
      <c r="B1034" s="3" t="s">
        <v>142</v>
      </c>
      <c r="C1034" s="3">
        <v>0</v>
      </c>
    </row>
    <row r="1035" spans="2:3" hidden="1">
      <c r="B1035" s="3" t="s">
        <v>143</v>
      </c>
      <c r="C1035" s="3">
        <v>0</v>
      </c>
    </row>
    <row r="1036" spans="2:3" hidden="1">
      <c r="B1036" s="3" t="s">
        <v>144</v>
      </c>
      <c r="C1036" s="3">
        <v>0</v>
      </c>
    </row>
    <row r="1037" spans="2:3" hidden="1">
      <c r="B1037" s="3" t="s">
        <v>145</v>
      </c>
      <c r="C1037" s="3">
        <v>0</v>
      </c>
    </row>
    <row r="1038" spans="2:3" hidden="1">
      <c r="B1038" s="3" t="s">
        <v>146</v>
      </c>
      <c r="C1038" s="3">
        <v>0</v>
      </c>
    </row>
    <row r="1039" spans="2:3" hidden="1">
      <c r="B1039" s="3" t="s">
        <v>147</v>
      </c>
      <c r="C1039" s="3">
        <v>0</v>
      </c>
    </row>
    <row r="1040" spans="2:3" hidden="1">
      <c r="B1040" s="3" t="s">
        <v>148</v>
      </c>
      <c r="C1040" s="3">
        <v>5</v>
      </c>
    </row>
    <row r="1041" spans="2:3" hidden="1">
      <c r="B1041" s="3" t="s">
        <v>149</v>
      </c>
      <c r="C1041" s="3">
        <v>0</v>
      </c>
    </row>
    <row r="1042" spans="2:3" hidden="1">
      <c r="B1042" s="3" t="s">
        <v>150</v>
      </c>
      <c r="C1042" s="3">
        <v>0</v>
      </c>
    </row>
    <row r="1043" spans="2:3" hidden="1">
      <c r="B1043" s="3" t="s">
        <v>151</v>
      </c>
      <c r="C1043" s="3">
        <v>0</v>
      </c>
    </row>
    <row r="1044" spans="2:3" hidden="1">
      <c r="B1044" s="3" t="s">
        <v>152</v>
      </c>
      <c r="C1044" s="3">
        <v>6800</v>
      </c>
    </row>
    <row r="1045" spans="2:3" hidden="1">
      <c r="B1045" s="3" t="s">
        <v>153</v>
      </c>
      <c r="C1045" s="3">
        <v>0</v>
      </c>
    </row>
    <row r="1046" spans="2:3" hidden="1">
      <c r="B1046" s="3" t="s">
        <v>154</v>
      </c>
      <c r="C1046" s="3">
        <v>0</v>
      </c>
    </row>
    <row r="1047" spans="2:3" hidden="1">
      <c r="B1047" s="3" t="s">
        <v>155</v>
      </c>
      <c r="C1047" s="3">
        <v>8500</v>
      </c>
    </row>
    <row r="1048" spans="2:3" hidden="1">
      <c r="B1048" s="3" t="s">
        <v>156</v>
      </c>
      <c r="C1048" s="3">
        <v>0</v>
      </c>
    </row>
    <row r="1049" spans="2:3" hidden="1">
      <c r="B1049" s="3" t="s">
        <v>157</v>
      </c>
      <c r="C1049" s="3">
        <v>15000</v>
      </c>
    </row>
    <row r="1050" spans="2:3" hidden="1">
      <c r="B1050" s="3" t="s">
        <v>158</v>
      </c>
      <c r="C1050" s="3">
        <v>3</v>
      </c>
    </row>
    <row r="1051" spans="2:3" hidden="1">
      <c r="B1051" s="3" t="s">
        <v>159</v>
      </c>
      <c r="C1051" s="3">
        <v>0</v>
      </c>
    </row>
    <row r="1052" spans="2:3" hidden="1">
      <c r="B1052" s="3" t="s">
        <v>160</v>
      </c>
      <c r="C1052" s="3">
        <v>0</v>
      </c>
    </row>
    <row r="1053" spans="2:3" hidden="1">
      <c r="B1053" s="3" t="s">
        <v>161</v>
      </c>
      <c r="C1053" s="3">
        <v>0</v>
      </c>
    </row>
    <row r="1054" spans="2:3" hidden="1">
      <c r="B1054" s="3" t="s">
        <v>162</v>
      </c>
      <c r="C1054" s="3">
        <v>0</v>
      </c>
    </row>
    <row r="1055" spans="2:3" hidden="1">
      <c r="B1055" s="3" t="s">
        <v>163</v>
      </c>
      <c r="C1055" s="3">
        <v>0</v>
      </c>
    </row>
    <row r="1056" spans="2:3" hidden="1">
      <c r="B1056" s="3" t="s">
        <v>164</v>
      </c>
      <c r="C1056" s="3">
        <v>0</v>
      </c>
    </row>
    <row r="1057" spans="2:3" hidden="1">
      <c r="B1057" s="3" t="s">
        <v>165</v>
      </c>
      <c r="C1057" s="3">
        <v>0</v>
      </c>
    </row>
    <row r="1058" spans="2:3" hidden="1">
      <c r="B1058" s="3" t="s">
        <v>166</v>
      </c>
      <c r="C1058" s="3">
        <v>0</v>
      </c>
    </row>
    <row r="1059" spans="2:3" hidden="1">
      <c r="B1059" s="3" t="s">
        <v>167</v>
      </c>
      <c r="C1059" s="3">
        <v>0</v>
      </c>
    </row>
    <row r="1060" spans="2:3" hidden="1">
      <c r="B1060" s="3" t="s">
        <v>168</v>
      </c>
      <c r="C1060" s="3">
        <v>0</v>
      </c>
    </row>
    <row r="1061" spans="2:3" hidden="1">
      <c r="B1061" s="3" t="s">
        <v>169</v>
      </c>
      <c r="C1061" s="3">
        <v>0</v>
      </c>
    </row>
    <row r="1062" spans="2:3" hidden="1">
      <c r="B1062" s="3" t="s">
        <v>170</v>
      </c>
      <c r="C1062" s="3">
        <v>0</v>
      </c>
    </row>
    <row r="1063" spans="2:3" hidden="1">
      <c r="B1063" s="3" t="s">
        <v>171</v>
      </c>
      <c r="C1063" s="3">
        <v>0</v>
      </c>
    </row>
    <row r="1064" spans="2:3" hidden="1">
      <c r="B1064" s="3" t="s">
        <v>172</v>
      </c>
      <c r="C1064" s="3">
        <v>0</v>
      </c>
    </row>
    <row r="1065" spans="2:3" hidden="1">
      <c r="B1065" s="3" t="s">
        <v>173</v>
      </c>
      <c r="C1065" s="3">
        <v>0</v>
      </c>
    </row>
    <row r="1066" spans="2:3" hidden="1">
      <c r="B1066" s="3" t="s">
        <v>174</v>
      </c>
      <c r="C1066" s="3">
        <v>0</v>
      </c>
    </row>
    <row r="1067" spans="2:3" hidden="1">
      <c r="B1067" s="3" t="s">
        <v>175</v>
      </c>
      <c r="C1067" s="3">
        <v>0</v>
      </c>
    </row>
    <row r="1068" spans="2:3" hidden="1">
      <c r="B1068" s="3" t="s">
        <v>176</v>
      </c>
      <c r="C1068" s="3">
        <v>0</v>
      </c>
    </row>
    <row r="1069" spans="2:3" hidden="1">
      <c r="B1069" s="3" t="s">
        <v>177</v>
      </c>
      <c r="C1069" s="3">
        <v>0</v>
      </c>
    </row>
    <row r="1070" spans="2:3" hidden="1">
      <c r="B1070" s="3" t="s">
        <v>178</v>
      </c>
      <c r="C1070" s="3">
        <v>0</v>
      </c>
    </row>
    <row r="1071" spans="2:3" hidden="1">
      <c r="B1071" s="3" t="s">
        <v>179</v>
      </c>
      <c r="C1071" s="3">
        <v>0</v>
      </c>
    </row>
    <row r="1072" spans="2:3" hidden="1">
      <c r="B1072" s="3" t="s">
        <v>180</v>
      </c>
      <c r="C1072" s="3">
        <v>0</v>
      </c>
    </row>
    <row r="1073" spans="2:3" hidden="1">
      <c r="B1073" s="3" t="s">
        <v>181</v>
      </c>
      <c r="C1073" s="3">
        <v>0</v>
      </c>
    </row>
    <row r="1074" spans="2:3" hidden="1">
      <c r="B1074" s="3" t="s">
        <v>182</v>
      </c>
      <c r="C1074" s="3">
        <v>0</v>
      </c>
    </row>
    <row r="1075" spans="2:3" hidden="1">
      <c r="B1075" s="3" t="s">
        <v>183</v>
      </c>
      <c r="C1075" s="3">
        <v>0</v>
      </c>
    </row>
    <row r="1076" spans="2:3" hidden="1">
      <c r="B1076" s="3" t="s">
        <v>184</v>
      </c>
      <c r="C1076" s="3">
        <v>0</v>
      </c>
    </row>
    <row r="1077" spans="2:3" hidden="1">
      <c r="B1077" s="3" t="s">
        <v>185</v>
      </c>
      <c r="C1077" s="3">
        <v>0</v>
      </c>
    </row>
    <row r="1078" spans="2:3" hidden="1">
      <c r="B1078" s="3" t="s">
        <v>186</v>
      </c>
      <c r="C1078" s="3">
        <v>0</v>
      </c>
    </row>
    <row r="1079" spans="2:3" hidden="1">
      <c r="B1079" s="3" t="s">
        <v>187</v>
      </c>
      <c r="C1079" s="3">
        <v>0</v>
      </c>
    </row>
    <row r="1080" spans="2:3" hidden="1">
      <c r="B1080" s="3" t="s">
        <v>188</v>
      </c>
      <c r="C1080" s="3">
        <v>0</v>
      </c>
    </row>
    <row r="1081" spans="2:3" hidden="1">
      <c r="B1081" s="3" t="s">
        <v>189</v>
      </c>
      <c r="C1081" s="3">
        <v>0</v>
      </c>
    </row>
    <row r="1082" spans="2:3" hidden="1">
      <c r="B1082" s="3" t="s">
        <v>190</v>
      </c>
      <c r="C1082" s="3">
        <v>0</v>
      </c>
    </row>
    <row r="1083" spans="2:3" hidden="1">
      <c r="B1083" s="3" t="s">
        <v>191</v>
      </c>
      <c r="C1083" s="3" t="s">
        <v>192</v>
      </c>
    </row>
    <row r="1084" spans="2:3" hidden="1">
      <c r="B1084" s="3" t="s">
        <v>193</v>
      </c>
      <c r="C1084" s="3" t="s">
        <v>194</v>
      </c>
    </row>
    <row r="1085" spans="2:3" hidden="1">
      <c r="B1085" s="3" t="s">
        <v>195</v>
      </c>
      <c r="C1085" s="3" t="s">
        <v>196</v>
      </c>
    </row>
    <row r="1086" spans="2:3" hidden="1">
      <c r="B1086" s="3" t="s">
        <v>197</v>
      </c>
      <c r="C1086" s="3" t="s">
        <v>198</v>
      </c>
    </row>
    <row r="1087" spans="2:3" hidden="1">
      <c r="B1087" s="3" t="s">
        <v>199</v>
      </c>
      <c r="C1087" s="3" t="s">
        <v>200</v>
      </c>
    </row>
    <row r="1088" spans="2:3" hidden="1">
      <c r="B1088" s="3" t="s">
        <v>201</v>
      </c>
      <c r="C1088" s="3" t="s">
        <v>202</v>
      </c>
    </row>
    <row r="1089" spans="2:3" hidden="1">
      <c r="B1089" s="3" t="s">
        <v>203</v>
      </c>
      <c r="C1089" s="3" t="s">
        <v>204</v>
      </c>
    </row>
    <row r="1090" spans="2:3" hidden="1">
      <c r="B1090" s="3" t="s">
        <v>205</v>
      </c>
      <c r="C1090" s="3" t="s">
        <v>206</v>
      </c>
    </row>
    <row r="1091" spans="2:3" hidden="1">
      <c r="B1091" s="3" t="s">
        <v>207</v>
      </c>
      <c r="C1091" s="3" t="s">
        <v>208</v>
      </c>
    </row>
    <row r="1092" spans="2:3" hidden="1">
      <c r="B1092" s="3" t="s">
        <v>209</v>
      </c>
      <c r="C1092" s="3" t="s">
        <v>210</v>
      </c>
    </row>
    <row r="1093" spans="2:3" hidden="1">
      <c r="B1093" s="3" t="s">
        <v>211</v>
      </c>
      <c r="C1093" s="3" t="s">
        <v>212</v>
      </c>
    </row>
    <row r="1094" spans="2:3" hidden="1">
      <c r="B1094" s="3" t="s">
        <v>213</v>
      </c>
      <c r="C1094" s="3" t="s">
        <v>214</v>
      </c>
    </row>
    <row r="1095" spans="2:3" hidden="1">
      <c r="B1095" s="3" t="s">
        <v>215</v>
      </c>
      <c r="C1095" s="3" t="s">
        <v>212</v>
      </c>
    </row>
    <row r="1096" spans="2:3" hidden="1">
      <c r="B1096" s="3" t="s">
        <v>216</v>
      </c>
      <c r="C1096" s="3" t="s">
        <v>204</v>
      </c>
    </row>
    <row r="1097" spans="2:3" hidden="1">
      <c r="B1097" s="3" t="s">
        <v>217</v>
      </c>
      <c r="C1097" s="3" t="s">
        <v>192</v>
      </c>
    </row>
    <row r="1098" spans="2:3" hidden="1">
      <c r="B1098" s="3" t="s">
        <v>218</v>
      </c>
      <c r="C1098" s="3" t="s">
        <v>212</v>
      </c>
    </row>
    <row r="1099" spans="2:3" hidden="1">
      <c r="B1099" s="3" t="s">
        <v>219</v>
      </c>
      <c r="C1099" s="3" t="s">
        <v>212</v>
      </c>
    </row>
    <row r="1100" spans="2:3" hidden="1">
      <c r="B1100" s="3" t="s">
        <v>220</v>
      </c>
      <c r="C1100" s="3" t="s">
        <v>200</v>
      </c>
    </row>
    <row r="1101" spans="2:3" hidden="1">
      <c r="B1101" s="3" t="s">
        <v>221</v>
      </c>
      <c r="C1101" s="3" t="s">
        <v>222</v>
      </c>
    </row>
    <row r="1102" spans="2:3" hidden="1">
      <c r="B1102" s="3" t="s">
        <v>223</v>
      </c>
      <c r="C1102" s="3" t="s">
        <v>196</v>
      </c>
    </row>
    <row r="1103" spans="2:3" hidden="1">
      <c r="B1103" s="3" t="s">
        <v>224</v>
      </c>
      <c r="C1103" s="3" t="s">
        <v>222</v>
      </c>
    </row>
    <row r="1104" spans="2:3" hidden="1">
      <c r="B1104" s="3" t="s">
        <v>225</v>
      </c>
      <c r="C1104" s="3" t="s">
        <v>226</v>
      </c>
    </row>
    <row r="1105" spans="2:3" hidden="1">
      <c r="B1105" s="3" t="s">
        <v>227</v>
      </c>
      <c r="C1105" s="3" t="s">
        <v>228</v>
      </c>
    </row>
    <row r="1106" spans="2:3" hidden="1">
      <c r="B1106" s="3" t="s">
        <v>229</v>
      </c>
      <c r="C1106" s="3" t="s">
        <v>230</v>
      </c>
    </row>
    <row r="1107" spans="2:3" hidden="1">
      <c r="B1107" s="3" t="s">
        <v>231</v>
      </c>
      <c r="C1107" s="3" t="s">
        <v>192</v>
      </c>
    </row>
    <row r="1108" spans="2:3" hidden="1">
      <c r="B1108" s="3" t="s">
        <v>232</v>
      </c>
      <c r="C1108" s="3" t="s">
        <v>200</v>
      </c>
    </row>
    <row r="1109" spans="2:3" hidden="1">
      <c r="B1109" s="3" t="s">
        <v>233</v>
      </c>
      <c r="C1109" s="3" t="s">
        <v>234</v>
      </c>
    </row>
    <row r="1110" spans="2:3" hidden="1">
      <c r="B1110" s="3" t="s">
        <v>235</v>
      </c>
      <c r="C1110" s="3" t="s">
        <v>236</v>
      </c>
    </row>
    <row r="1111" spans="2:3" hidden="1">
      <c r="B1111" s="3" t="s">
        <v>237</v>
      </c>
      <c r="C1111" s="3">
        <v>0</v>
      </c>
    </row>
    <row r="1112" spans="2:3" hidden="1">
      <c r="B1112" s="3" t="s">
        <v>238</v>
      </c>
      <c r="C1112" s="3">
        <v>0</v>
      </c>
    </row>
    <row r="1113" spans="2:3" hidden="1">
      <c r="B1113" s="3" t="s">
        <v>239</v>
      </c>
      <c r="C1113" s="3">
        <v>0</v>
      </c>
    </row>
    <row r="1114" spans="2:3" hidden="1">
      <c r="B1114" s="3" t="s">
        <v>240</v>
      </c>
      <c r="C1114" s="3">
        <v>0</v>
      </c>
    </row>
    <row r="1115" spans="2:3" hidden="1">
      <c r="B1115" s="3" t="s">
        <v>242</v>
      </c>
      <c r="C1115" s="3">
        <v>0</v>
      </c>
    </row>
    <row r="1116" spans="2:3" hidden="1">
      <c r="B1116" s="3" t="s">
        <v>243</v>
      </c>
      <c r="C1116" s="3">
        <v>0</v>
      </c>
    </row>
    <row r="1117" spans="2:3" hidden="1">
      <c r="B1117" s="3" t="s">
        <v>244</v>
      </c>
      <c r="C1117" s="3">
        <v>0</v>
      </c>
    </row>
    <row r="1118" spans="2:3" hidden="1">
      <c r="B1118" s="3" t="s">
        <v>245</v>
      </c>
      <c r="C1118" s="3">
        <v>0</v>
      </c>
    </row>
    <row r="1119" spans="2:3" hidden="1">
      <c r="B1119" s="3" t="s">
        <v>246</v>
      </c>
      <c r="C1119" s="3">
        <v>0</v>
      </c>
    </row>
    <row r="1120" spans="2:3" hidden="1">
      <c r="B1120" s="3" t="s">
        <v>247</v>
      </c>
      <c r="C1120" s="3">
        <v>0</v>
      </c>
    </row>
    <row r="1121" spans="2:3" hidden="1">
      <c r="B1121" s="3" t="s">
        <v>248</v>
      </c>
      <c r="C1121" s="3">
        <v>0</v>
      </c>
    </row>
    <row r="1122" spans="2:3" hidden="1">
      <c r="B1122" s="3" t="s">
        <v>249</v>
      </c>
      <c r="C1122" s="3" t="s">
        <v>250</v>
      </c>
    </row>
    <row r="1123" spans="2:3" hidden="1">
      <c r="B1123" s="3" t="s">
        <v>251</v>
      </c>
      <c r="C1123" s="3">
        <v>0</v>
      </c>
    </row>
    <row r="1124" spans="2:3" hidden="1">
      <c r="B1124" s="3" t="s">
        <v>252</v>
      </c>
      <c r="C1124" s="3">
        <v>0</v>
      </c>
    </row>
    <row r="1125" spans="2:3" hidden="1">
      <c r="B1125" s="3" t="s">
        <v>253</v>
      </c>
      <c r="C1125" s="3">
        <v>0</v>
      </c>
    </row>
    <row r="1126" spans="2:3" hidden="1">
      <c r="B1126" s="3" t="s">
        <v>254</v>
      </c>
      <c r="C1126" s="3">
        <v>0</v>
      </c>
    </row>
    <row r="1127" spans="2:3" hidden="1">
      <c r="B1127" s="3" t="s">
        <v>255</v>
      </c>
      <c r="C1127" s="3">
        <v>0</v>
      </c>
    </row>
    <row r="1128" spans="2:3" hidden="1">
      <c r="B1128" s="3" t="s">
        <v>256</v>
      </c>
      <c r="C1128" s="3">
        <v>0</v>
      </c>
    </row>
    <row r="1129" spans="2:3" hidden="1">
      <c r="B1129" s="3" t="s">
        <v>257</v>
      </c>
      <c r="C1129" s="3">
        <v>0</v>
      </c>
    </row>
    <row r="1130" spans="2:3" hidden="1">
      <c r="B1130" s="3" t="s">
        <v>258</v>
      </c>
      <c r="C1130" s="3" t="s">
        <v>259</v>
      </c>
    </row>
    <row r="1131" spans="2:3" hidden="1">
      <c r="B1131" s="3" t="s">
        <v>260</v>
      </c>
      <c r="C1131" s="3">
        <v>0</v>
      </c>
    </row>
    <row r="1132" spans="2:3" hidden="1">
      <c r="B1132" s="3" t="s">
        <v>261</v>
      </c>
      <c r="C1132" s="3">
        <v>0</v>
      </c>
    </row>
    <row r="1133" spans="2:3" hidden="1">
      <c r="B1133" s="3" t="s">
        <v>262</v>
      </c>
      <c r="C1133" s="3">
        <v>0</v>
      </c>
    </row>
    <row r="1134" spans="2:3" hidden="1">
      <c r="B1134" s="3" t="s">
        <v>263</v>
      </c>
      <c r="C1134" s="3">
        <v>0</v>
      </c>
    </row>
    <row r="1135" spans="2:3" hidden="1">
      <c r="B1135" s="3" t="s">
        <v>264</v>
      </c>
      <c r="C1135" s="3">
        <v>0</v>
      </c>
    </row>
    <row r="1136" spans="2:3" hidden="1">
      <c r="B1136" s="3" t="s">
        <v>265</v>
      </c>
      <c r="C1136" s="3">
        <v>0</v>
      </c>
    </row>
    <row r="1137" spans="2:3" hidden="1">
      <c r="B1137" s="3" t="s">
        <v>266</v>
      </c>
      <c r="C1137" s="3">
        <v>0</v>
      </c>
    </row>
    <row r="1138" spans="2:3" hidden="1">
      <c r="B1138" s="3" t="s">
        <v>267</v>
      </c>
      <c r="C1138" s="3">
        <v>0</v>
      </c>
    </row>
    <row r="1139" spans="2:3" hidden="1">
      <c r="B1139" s="3" t="s">
        <v>268</v>
      </c>
      <c r="C1139" s="3">
        <v>0</v>
      </c>
    </row>
    <row r="1140" spans="2:3" hidden="1">
      <c r="B1140" s="3" t="s">
        <v>269</v>
      </c>
      <c r="C1140" s="3">
        <v>0</v>
      </c>
    </row>
    <row r="1141" spans="2:3" hidden="1">
      <c r="B1141" s="3" t="s">
        <v>270</v>
      </c>
      <c r="C1141" s="3">
        <v>0</v>
      </c>
    </row>
    <row r="1142" spans="2:3" hidden="1">
      <c r="B1142" s="3" t="s">
        <v>271</v>
      </c>
      <c r="C1142" s="3">
        <v>0</v>
      </c>
    </row>
    <row r="1143" spans="2:3" hidden="1">
      <c r="B1143" s="3" t="s">
        <v>272</v>
      </c>
      <c r="C1143" s="3">
        <v>0</v>
      </c>
    </row>
    <row r="1144" spans="2:3" hidden="1">
      <c r="B1144" s="3" t="s">
        <v>273</v>
      </c>
      <c r="C1144" s="3">
        <v>0</v>
      </c>
    </row>
    <row r="1145" spans="2:3" hidden="1">
      <c r="B1145" s="3" t="s">
        <v>274</v>
      </c>
      <c r="C1145" s="3">
        <v>0</v>
      </c>
    </row>
    <row r="1146" spans="2:3" hidden="1">
      <c r="B1146" s="3" t="s">
        <v>275</v>
      </c>
      <c r="C1146" s="3">
        <v>0</v>
      </c>
    </row>
    <row r="1147" spans="2:3" hidden="1">
      <c r="B1147" s="3" t="s">
        <v>276</v>
      </c>
      <c r="C1147" s="3">
        <v>0</v>
      </c>
    </row>
    <row r="1148" spans="2:3" hidden="1">
      <c r="B1148" s="3" t="s">
        <v>277</v>
      </c>
      <c r="C1148" s="3" t="s">
        <v>241</v>
      </c>
    </row>
    <row r="1149" spans="2:3" hidden="1">
      <c r="B1149" s="3" t="s">
        <v>278</v>
      </c>
      <c r="C1149" s="3">
        <v>0</v>
      </c>
    </row>
    <row r="1150" spans="2:3" hidden="1">
      <c r="B1150" s="3" t="s">
        <v>279</v>
      </c>
      <c r="C1150" s="3">
        <v>0</v>
      </c>
    </row>
    <row r="1151" spans="2:3" hidden="1">
      <c r="B1151" s="3" t="s">
        <v>280</v>
      </c>
      <c r="C1151" s="3">
        <v>0</v>
      </c>
    </row>
    <row r="1152" spans="2:3" hidden="1">
      <c r="B1152" s="3" t="s">
        <v>281</v>
      </c>
      <c r="C1152" s="3">
        <v>0</v>
      </c>
    </row>
    <row r="1153" spans="2:3" hidden="1">
      <c r="B1153" s="3" t="s">
        <v>282</v>
      </c>
      <c r="C1153" s="3">
        <v>0</v>
      </c>
    </row>
    <row r="1154" spans="2:3" hidden="1">
      <c r="B1154" s="3" t="s">
        <v>283</v>
      </c>
      <c r="C1154" s="3">
        <v>0</v>
      </c>
    </row>
    <row r="1155" spans="2:3" hidden="1">
      <c r="B1155" s="3" t="s">
        <v>284</v>
      </c>
      <c r="C1155" s="3">
        <v>0</v>
      </c>
    </row>
    <row r="1156" spans="2:3" hidden="1">
      <c r="B1156" s="3" t="s">
        <v>285</v>
      </c>
      <c r="C1156" s="3">
        <v>0</v>
      </c>
    </row>
    <row r="1157" spans="2:3" hidden="1">
      <c r="B1157" s="3" t="s">
        <v>286</v>
      </c>
      <c r="C1157" s="3">
        <v>0</v>
      </c>
    </row>
    <row r="1158" spans="2:3" hidden="1">
      <c r="B1158" s="3" t="s">
        <v>287</v>
      </c>
      <c r="C1158" s="3">
        <v>0</v>
      </c>
    </row>
    <row r="1159" spans="2:3" hidden="1">
      <c r="B1159" s="3" t="s">
        <v>288</v>
      </c>
      <c r="C1159" s="3">
        <v>0</v>
      </c>
    </row>
    <row r="1160" spans="2:3" hidden="1">
      <c r="B1160" s="3" t="s">
        <v>289</v>
      </c>
      <c r="C1160" s="3">
        <v>1</v>
      </c>
    </row>
    <row r="1161" spans="2:3" hidden="1">
      <c r="B1161" s="3" t="s">
        <v>290</v>
      </c>
      <c r="C1161" s="3">
        <v>0</v>
      </c>
    </row>
    <row r="1162" spans="2:3" hidden="1">
      <c r="B1162" s="3" t="s">
        <v>291</v>
      </c>
      <c r="C1162" s="3">
        <v>0</v>
      </c>
    </row>
    <row r="1163" spans="2:3" hidden="1">
      <c r="B1163" s="3" t="s">
        <v>292</v>
      </c>
      <c r="C1163" s="3">
        <v>0</v>
      </c>
    </row>
    <row r="1164" spans="2:3" hidden="1">
      <c r="B1164" s="3" t="s">
        <v>293</v>
      </c>
      <c r="C1164" s="3">
        <v>0</v>
      </c>
    </row>
    <row r="1165" spans="2:3" hidden="1">
      <c r="B1165" s="3" t="s">
        <v>294</v>
      </c>
      <c r="C1165" s="3">
        <v>0</v>
      </c>
    </row>
    <row r="1166" spans="2:3" hidden="1">
      <c r="B1166" s="3" t="s">
        <v>295</v>
      </c>
      <c r="C1166" s="3">
        <v>0</v>
      </c>
    </row>
    <row r="1167" spans="2:3" hidden="1">
      <c r="B1167" s="3" t="s">
        <v>296</v>
      </c>
      <c r="C1167" s="3">
        <v>0</v>
      </c>
    </row>
    <row r="1168" spans="2:3" hidden="1">
      <c r="B1168" s="3" t="s">
        <v>297</v>
      </c>
      <c r="C1168" s="3">
        <v>1</v>
      </c>
    </row>
    <row r="1169" spans="2:3" hidden="1">
      <c r="B1169" s="3" t="s">
        <v>298</v>
      </c>
      <c r="C1169" s="3">
        <v>0</v>
      </c>
    </row>
    <row r="1170" spans="2:3" hidden="1">
      <c r="B1170" s="3" t="s">
        <v>299</v>
      </c>
      <c r="C1170" s="3">
        <v>0</v>
      </c>
    </row>
    <row r="1171" spans="2:3" hidden="1">
      <c r="B1171" s="3" t="s">
        <v>300</v>
      </c>
      <c r="C1171" s="3">
        <v>0</v>
      </c>
    </row>
    <row r="1172" spans="2:3" hidden="1">
      <c r="B1172" s="3" t="s">
        <v>301</v>
      </c>
      <c r="C1172" s="3">
        <v>0</v>
      </c>
    </row>
    <row r="1173" spans="2:3" hidden="1">
      <c r="B1173" s="3" t="s">
        <v>302</v>
      </c>
      <c r="C1173" s="3">
        <v>0</v>
      </c>
    </row>
    <row r="1174" spans="2:3" hidden="1">
      <c r="B1174" s="3" t="s">
        <v>303</v>
      </c>
      <c r="C1174" s="3">
        <v>0</v>
      </c>
    </row>
    <row r="1175" spans="2:3" hidden="1">
      <c r="B1175" s="3" t="s">
        <v>304</v>
      </c>
      <c r="C1175" s="3">
        <v>0</v>
      </c>
    </row>
    <row r="1176" spans="2:3" hidden="1">
      <c r="B1176" s="3" t="s">
        <v>305</v>
      </c>
      <c r="C1176" s="3">
        <v>0</v>
      </c>
    </row>
    <row r="1177" spans="2:3" hidden="1">
      <c r="B1177" s="3" t="s">
        <v>306</v>
      </c>
      <c r="C1177" s="3">
        <v>0</v>
      </c>
    </row>
    <row r="1178" spans="2:3" hidden="1">
      <c r="B1178" s="3" t="s">
        <v>307</v>
      </c>
      <c r="C1178" s="3">
        <v>0</v>
      </c>
    </row>
    <row r="1179" spans="2:3" hidden="1">
      <c r="B1179" s="3" t="s">
        <v>308</v>
      </c>
      <c r="C1179" s="3">
        <v>0</v>
      </c>
    </row>
    <row r="1180" spans="2:3" hidden="1">
      <c r="B1180" s="3" t="s">
        <v>309</v>
      </c>
      <c r="C1180" s="3">
        <v>0</v>
      </c>
    </row>
    <row r="1181" spans="2:3" hidden="1">
      <c r="B1181" s="3" t="s">
        <v>310</v>
      </c>
      <c r="C1181" s="3">
        <v>0</v>
      </c>
    </row>
    <row r="1182" spans="2:3" hidden="1">
      <c r="B1182" s="3" t="s">
        <v>311</v>
      </c>
      <c r="C1182" s="3">
        <v>0</v>
      </c>
    </row>
    <row r="1183" spans="2:3" hidden="1">
      <c r="B1183" s="3" t="s">
        <v>312</v>
      </c>
      <c r="C1183" s="3">
        <v>0</v>
      </c>
    </row>
    <row r="1184" spans="2:3" hidden="1">
      <c r="B1184" s="3" t="s">
        <v>313</v>
      </c>
      <c r="C1184" s="3">
        <v>0</v>
      </c>
    </row>
    <row r="1185" spans="2:3" hidden="1">
      <c r="B1185" s="3" t="s">
        <v>314</v>
      </c>
      <c r="C1185" s="3">
        <v>0</v>
      </c>
    </row>
    <row r="1186" spans="2:3" hidden="1">
      <c r="B1186" s="3" t="s">
        <v>315</v>
      </c>
      <c r="C1186" s="3">
        <v>0</v>
      </c>
    </row>
    <row r="1187" spans="2:3" hidden="1">
      <c r="B1187" s="3" t="s">
        <v>316</v>
      </c>
      <c r="C1187" s="3">
        <v>1</v>
      </c>
    </row>
    <row r="1188" spans="2:3" hidden="1">
      <c r="B1188" s="3" t="s">
        <v>317</v>
      </c>
      <c r="C1188" s="3">
        <v>0</v>
      </c>
    </row>
    <row r="1189" spans="2:3" hidden="1">
      <c r="B1189" s="3" t="s">
        <v>318</v>
      </c>
      <c r="C1189" s="3">
        <v>0</v>
      </c>
    </row>
    <row r="1190" spans="2:3" hidden="1">
      <c r="B1190" s="3" t="s">
        <v>319</v>
      </c>
      <c r="C1190" s="3">
        <v>0</v>
      </c>
    </row>
    <row r="1191" spans="2:3" hidden="1">
      <c r="B1191" s="3" t="s">
        <v>320</v>
      </c>
      <c r="C1191" s="3">
        <v>0</v>
      </c>
    </row>
    <row r="1192" spans="2:3" hidden="1">
      <c r="B1192" s="3" t="s">
        <v>321</v>
      </c>
      <c r="C1192" s="3">
        <v>0</v>
      </c>
    </row>
    <row r="1193" spans="2:3" hidden="1">
      <c r="B1193" s="3" t="s">
        <v>322</v>
      </c>
      <c r="C1193" s="3">
        <v>0</v>
      </c>
    </row>
    <row r="1194" spans="2:3" hidden="1">
      <c r="B1194" s="3" t="s">
        <v>323</v>
      </c>
      <c r="C1194" s="3">
        <v>0</v>
      </c>
    </row>
    <row r="1195" spans="2:3" hidden="1">
      <c r="B1195" s="3" t="s">
        <v>324</v>
      </c>
      <c r="C1195" s="3">
        <v>0</v>
      </c>
    </row>
    <row r="1196" spans="2:3" hidden="1">
      <c r="B1196" s="3" t="s">
        <v>325</v>
      </c>
      <c r="C1196" s="3">
        <v>0</v>
      </c>
    </row>
    <row r="1197" spans="2:3" hidden="1">
      <c r="B1197" s="3" t="s">
        <v>326</v>
      </c>
      <c r="C1197" s="3">
        <v>0</v>
      </c>
    </row>
    <row r="1198" spans="2:3" hidden="1">
      <c r="B1198" s="3" t="s">
        <v>327</v>
      </c>
      <c r="C1198" s="3">
        <v>0</v>
      </c>
    </row>
    <row r="1199" spans="2:3" hidden="1">
      <c r="B1199" s="3" t="s">
        <v>328</v>
      </c>
      <c r="C1199" s="3">
        <v>0</v>
      </c>
    </row>
    <row r="1200" spans="2:3" hidden="1">
      <c r="B1200" s="3" t="s">
        <v>329</v>
      </c>
      <c r="C1200" s="3">
        <v>0</v>
      </c>
    </row>
    <row r="1201" spans="2:3" hidden="1">
      <c r="B1201" s="3" t="s">
        <v>330</v>
      </c>
      <c r="C1201" s="3">
        <v>0</v>
      </c>
    </row>
    <row r="1202" spans="2:3" hidden="1">
      <c r="B1202" s="3" t="s">
        <v>331</v>
      </c>
      <c r="C1202" s="3">
        <v>0</v>
      </c>
    </row>
    <row r="1203" spans="2:3" hidden="1">
      <c r="B1203" s="3" t="s">
        <v>332</v>
      </c>
      <c r="C1203" s="3">
        <v>0</v>
      </c>
    </row>
    <row r="1204" spans="2:3" hidden="1">
      <c r="B1204" s="3" t="s">
        <v>333</v>
      </c>
      <c r="C1204" s="3">
        <v>0</v>
      </c>
    </row>
    <row r="1205" spans="2:3" hidden="1">
      <c r="B1205" s="3" t="s">
        <v>334</v>
      </c>
      <c r="C1205" s="3">
        <v>0</v>
      </c>
    </row>
    <row r="1206" spans="2:3" hidden="1">
      <c r="B1206" s="3" t="s">
        <v>335</v>
      </c>
      <c r="C1206" s="3">
        <v>0</v>
      </c>
    </row>
    <row r="1207" spans="2:3" hidden="1">
      <c r="B1207" s="3" t="s">
        <v>336</v>
      </c>
      <c r="C1207" s="3">
        <v>0</v>
      </c>
    </row>
    <row r="1208" spans="2:3" hidden="1">
      <c r="B1208" s="3" t="s">
        <v>337</v>
      </c>
      <c r="C1208" s="3">
        <v>0</v>
      </c>
    </row>
    <row r="1209" spans="2:3" hidden="1">
      <c r="B1209" s="3" t="s">
        <v>338</v>
      </c>
      <c r="C1209" s="3">
        <v>0</v>
      </c>
    </row>
    <row r="1210" spans="2:3" hidden="1">
      <c r="B1210" s="3" t="s">
        <v>339</v>
      </c>
      <c r="C1210" s="3">
        <v>0</v>
      </c>
    </row>
    <row r="1211" spans="2:3" hidden="1">
      <c r="B1211" s="3" t="s">
        <v>340</v>
      </c>
      <c r="C1211" s="3">
        <v>0</v>
      </c>
    </row>
    <row r="1212" spans="2:3" hidden="1">
      <c r="B1212" s="3" t="s">
        <v>341</v>
      </c>
      <c r="C1212" s="3">
        <v>0</v>
      </c>
    </row>
    <row r="1213" spans="2:3" hidden="1">
      <c r="B1213" s="3" t="s">
        <v>342</v>
      </c>
      <c r="C1213" s="3">
        <v>0</v>
      </c>
    </row>
    <row r="1214" spans="2:3" hidden="1">
      <c r="B1214" s="3" t="s">
        <v>343</v>
      </c>
      <c r="C1214" s="3">
        <v>0</v>
      </c>
    </row>
    <row r="1215" spans="2:3" hidden="1">
      <c r="B1215" s="3" t="s">
        <v>344</v>
      </c>
      <c r="C1215" s="3">
        <v>0</v>
      </c>
    </row>
    <row r="1216" spans="2:3" hidden="1">
      <c r="B1216" s="3" t="s">
        <v>345</v>
      </c>
      <c r="C1216" s="3">
        <v>0</v>
      </c>
    </row>
    <row r="1217" spans="2:3" hidden="1">
      <c r="B1217" s="3" t="s">
        <v>346</v>
      </c>
      <c r="C1217" s="3">
        <v>0</v>
      </c>
    </row>
    <row r="1218" spans="2:3" hidden="1">
      <c r="B1218" s="3" t="s">
        <v>347</v>
      </c>
      <c r="C1218" s="3">
        <v>0</v>
      </c>
    </row>
    <row r="1219" spans="2:3" hidden="1">
      <c r="B1219" s="3" t="s">
        <v>348</v>
      </c>
      <c r="C1219" s="3">
        <v>0</v>
      </c>
    </row>
    <row r="1220" spans="2:3" hidden="1">
      <c r="B1220" s="3" t="s">
        <v>349</v>
      </c>
      <c r="C1220" s="3">
        <v>0</v>
      </c>
    </row>
    <row r="1221" spans="2:3" hidden="1">
      <c r="B1221" s="3" t="s">
        <v>350</v>
      </c>
      <c r="C1221" s="3">
        <v>0</v>
      </c>
    </row>
    <row r="1222" spans="2:3" hidden="1">
      <c r="B1222" s="3" t="s">
        <v>351</v>
      </c>
      <c r="C1222" s="3">
        <v>0</v>
      </c>
    </row>
    <row r="1223" spans="2:3" hidden="1">
      <c r="B1223" s="3" t="s">
        <v>352</v>
      </c>
      <c r="C1223" s="3">
        <v>0</v>
      </c>
    </row>
    <row r="1224" spans="2:3" hidden="1">
      <c r="B1224" s="3" t="s">
        <v>353</v>
      </c>
      <c r="C1224" s="3">
        <v>0</v>
      </c>
    </row>
    <row r="1225" spans="2:3" hidden="1">
      <c r="B1225" s="3" t="s">
        <v>354</v>
      </c>
      <c r="C1225" s="3">
        <v>0</v>
      </c>
    </row>
    <row r="1226" spans="2:3" hidden="1">
      <c r="B1226" s="3" t="s">
        <v>355</v>
      </c>
      <c r="C1226" s="3">
        <v>0</v>
      </c>
    </row>
    <row r="1227" spans="2:3" hidden="1">
      <c r="B1227" s="3" t="s">
        <v>356</v>
      </c>
      <c r="C1227" s="3">
        <v>0</v>
      </c>
    </row>
    <row r="1228" spans="2:3" hidden="1">
      <c r="B1228" s="3" t="s">
        <v>357</v>
      </c>
      <c r="C1228" s="3">
        <v>0</v>
      </c>
    </row>
  </sheetData>
  <sheetProtection sheet="1" objects="1" scenarios="1"/>
  <protectedRanges>
    <protectedRange sqref="D3 D5:E6 C6 F7:F8 D12:E12 D14:D16 F17 D18 D20:E22 D23:D24 E24 F25:F26 D31 F32 D37 F39 B53:B56 E53:F56 B62:D72" name="Grey cells"/>
  </protectedRanges>
  <mergeCells count="10">
    <mergeCell ref="B59:B60"/>
    <mergeCell ref="C59:C60"/>
    <mergeCell ref="E59:E60"/>
    <mergeCell ref="F59:F60"/>
    <mergeCell ref="I59:I60"/>
    <mergeCell ref="B2:F2"/>
    <mergeCell ref="I4:P4"/>
    <mergeCell ref="H5:H12"/>
    <mergeCell ref="B51:F51"/>
    <mergeCell ref="B58:I58"/>
  </mergeCells>
  <conditionalFormatting sqref="B71:C71">
    <cfRule type="expression" dxfId="29" priority="9" stopIfTrue="1">
      <formula>MID($B71,1,4)="Rent"</formula>
    </cfRule>
  </conditionalFormatting>
  <conditionalFormatting sqref="C30:D31">
    <cfRule type="expression" dxfId="28" priority="5">
      <formula>#REF!="yes"</formula>
    </cfRule>
  </conditionalFormatting>
  <conditionalFormatting sqref="D4">
    <cfRule type="expression" dxfId="27" priority="8">
      <formula>$F$1="no"</formula>
    </cfRule>
  </conditionalFormatting>
  <conditionalFormatting sqref="D11">
    <cfRule type="expression" dxfId="26" priority="7">
      <formula>#REF!="no"</formula>
    </cfRule>
  </conditionalFormatting>
  <conditionalFormatting sqref="D32 C33:E33">
    <cfRule type="expression" dxfId="25" priority="10">
      <formula>#REF!="yes"</formula>
    </cfRule>
  </conditionalFormatting>
  <conditionalFormatting sqref="D12:E29">
    <cfRule type="expression" dxfId="24" priority="1">
      <formula>#REF!="yes"</formula>
    </cfRule>
  </conditionalFormatting>
  <dataValidations count="1">
    <dataValidation type="list" allowBlank="1" showInputMessage="1" showErrorMessage="1" sqref="F1" xr:uid="{FADB29A0-0BDF-458E-9799-EF5D691E38D3}">
      <formula1>"Yes, No"</formula1>
    </dataValidation>
  </dataValidations>
  <pageMargins left="0.7" right="0.7" top="0.75" bottom="0.75" header="0.3" footer="0.3"/>
  <pageSetup scale="67"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9C2B4F8C-199D-4401-89A2-278D3FCF7D42}">
          <x14:formula1>
            <xm:f>'Machinery Input Tables'!$AH$6:$AH$32</xm:f>
          </x14:formula1>
          <xm:sqref>C62:C72</xm:sqref>
        </x14:dataValidation>
        <x14:dataValidation type="list" allowBlank="1" showInputMessage="1" showErrorMessage="1" xr:uid="{6312FF0E-FBE5-4A73-9B4E-2CBD9E62FF19}">
          <x14:formula1>
            <xm:f>'Machinery Input Tables'!$B$6:$B$121</xm:f>
          </x14:formula1>
          <xm:sqref>B62:B72</xm:sqref>
        </x14:dataValidation>
        <x14:dataValidation type="list" allowBlank="1" showInputMessage="1" showErrorMessage="1" xr:uid="{8713548A-BF6C-425F-AE1D-4CAAA9592D29}">
          <x14:formula1>
            <xm:f>'Machinery Input Tables'!$C$133:$C$184</xm:f>
          </x14:formula1>
          <xm:sqref>B53:B56</xm:sqref>
        </x14:dataValidation>
        <x14:dataValidation type="list" allowBlank="1" showInputMessage="1" showErrorMessage="1" xr:uid="{CE03B81F-A107-42FC-AB2F-7A5C9F07778B}">
          <x14:formula1>
            <xm:f>'Irrigation costs'!$D$2:$G$2</xm:f>
          </x14:formula1>
          <xm:sqref>D3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8592C-3E92-4E67-BA56-9BA5B7A7BC41}">
  <sheetPr>
    <pageSetUpPr fitToPage="1"/>
  </sheetPr>
  <dimension ref="A1:Q1228"/>
  <sheetViews>
    <sheetView showGridLines="0" topLeftCell="A9" zoomScaleNormal="100" workbookViewId="0">
      <selection activeCell="F37" sqref="F37"/>
    </sheetView>
  </sheetViews>
  <sheetFormatPr defaultColWidth="0" defaultRowHeight="16.5" zeroHeight="1"/>
  <cols>
    <col min="1" max="1" width="3.125" style="3" customWidth="1"/>
    <col min="2" max="2" width="34.875" style="3" customWidth="1"/>
    <col min="3" max="3" width="20.25" style="3" customWidth="1"/>
    <col min="4" max="5" width="14" style="3" customWidth="1"/>
    <col min="6" max="6" width="12.625" style="3" customWidth="1"/>
    <col min="7" max="7" width="11.75" style="3" customWidth="1"/>
    <col min="8" max="9" width="9" style="3" customWidth="1"/>
    <col min="10" max="10" width="11.625" style="3" customWidth="1"/>
    <col min="11" max="11" width="10.625" style="3" customWidth="1"/>
    <col min="12" max="14" width="9" style="3" customWidth="1"/>
    <col min="15" max="15" width="9.5" style="3" bestFit="1" customWidth="1"/>
    <col min="16" max="16" width="9" style="3" customWidth="1"/>
    <col min="17" max="17" width="3.125" style="3" customWidth="1"/>
    <col min="18" max="16384" width="9" style="3" hidden="1"/>
  </cols>
  <sheetData>
    <row r="1" spans="2:16">
      <c r="F1" s="32"/>
    </row>
    <row r="2" spans="2:16" ht="20.25" customHeight="1">
      <c r="B2" s="299" t="s">
        <v>802</v>
      </c>
      <c r="C2" s="299"/>
      <c r="D2" s="299"/>
      <c r="E2" s="299"/>
      <c r="F2" s="299"/>
      <c r="G2" s="4"/>
    </row>
    <row r="3" spans="2:16" ht="17.25">
      <c r="B3" s="33" t="s">
        <v>687</v>
      </c>
      <c r="C3" s="34"/>
      <c r="D3" s="143" t="s">
        <v>679</v>
      </c>
      <c r="E3" s="34"/>
      <c r="F3" s="36"/>
      <c r="G3" s="37"/>
      <c r="H3" s="38"/>
      <c r="I3" s="39" t="s">
        <v>800</v>
      </c>
      <c r="J3" s="38"/>
      <c r="K3" s="38"/>
      <c r="L3" s="38"/>
      <c r="M3" s="38"/>
      <c r="N3" s="38"/>
      <c r="O3" s="38"/>
      <c r="P3" s="38"/>
    </row>
    <row r="4" spans="2:16" ht="17.25">
      <c r="B4" s="40" t="s">
        <v>370</v>
      </c>
      <c r="C4" s="40" t="s">
        <v>556</v>
      </c>
      <c r="D4" s="41" t="s">
        <v>25</v>
      </c>
      <c r="E4" s="41" t="s">
        <v>854</v>
      </c>
      <c r="F4" s="41" t="s">
        <v>855</v>
      </c>
      <c r="G4" s="37"/>
      <c r="H4" s="42"/>
      <c r="I4" s="300" t="s">
        <v>6</v>
      </c>
      <c r="J4" s="300"/>
      <c r="K4" s="300"/>
      <c r="L4" s="300"/>
      <c r="M4" s="300"/>
      <c r="N4" s="300"/>
      <c r="O4" s="300"/>
      <c r="P4" s="300"/>
    </row>
    <row r="5" spans="2:16" ht="16.5" customHeight="1">
      <c r="B5" s="43" t="s">
        <v>20</v>
      </c>
      <c r="C5" s="187" t="s">
        <v>21</v>
      </c>
      <c r="D5" s="44">
        <v>160</v>
      </c>
      <c r="E5" s="77">
        <v>4.95</v>
      </c>
      <c r="F5" s="46">
        <f>D5*E5</f>
        <v>792</v>
      </c>
      <c r="G5" s="47" t="s">
        <v>40</v>
      </c>
      <c r="H5" s="301" t="s">
        <v>799</v>
      </c>
      <c r="I5" s="48"/>
      <c r="J5" s="49">
        <f>0.7*$D$5</f>
        <v>112</v>
      </c>
      <c r="K5" s="49">
        <f>0.8*$D$5</f>
        <v>128</v>
      </c>
      <c r="L5" s="49">
        <f>0.9*$D$5</f>
        <v>144</v>
      </c>
      <c r="M5" s="50">
        <f>1*$D$5</f>
        <v>160</v>
      </c>
      <c r="N5" s="49">
        <f>1.1*$D$5</f>
        <v>176</v>
      </c>
      <c r="O5" s="49">
        <f>1.2*$D$5</f>
        <v>192</v>
      </c>
      <c r="P5" s="51">
        <f>1.3*$D$5</f>
        <v>208</v>
      </c>
    </row>
    <row r="6" spans="2:16" ht="17.25">
      <c r="B6" s="43" t="s">
        <v>22</v>
      </c>
      <c r="C6" s="52"/>
      <c r="D6" s="53"/>
      <c r="E6" s="58"/>
      <c r="F6" s="46">
        <f>D6*E6</f>
        <v>0</v>
      </c>
      <c r="G6" s="54"/>
      <c r="H6" s="301"/>
      <c r="I6" s="55">
        <f>0.7*$E$5</f>
        <v>3.4649999999999999</v>
      </c>
      <c r="J6" s="56">
        <f t="shared" ref="J6:P12" si="0">(J$5*$I6+SUM($F$6:$F$8)-((J$5*$I6+SUM($F$6:$F$8))/$F$9*$F$37)-($F$24*J$5/$D$5)-SUM($F$12:$F$13,$F$19,$F$23,$F$25:$F$30,$F$32:$F$33,$F$38))</f>
        <v>-285.06446424398371</v>
      </c>
      <c r="K6" s="56">
        <f t="shared" si="0"/>
        <v>-234.73326424398363</v>
      </c>
      <c r="L6" s="56">
        <f t="shared" si="0"/>
        <v>-184.40206424398366</v>
      </c>
      <c r="M6" s="56">
        <f t="shared" si="0"/>
        <v>-134.07086424398369</v>
      </c>
      <c r="N6" s="56">
        <f t="shared" si="0"/>
        <v>-83.739664243983725</v>
      </c>
      <c r="O6" s="56">
        <f t="shared" si="0"/>
        <v>-33.408464243983644</v>
      </c>
      <c r="P6" s="56">
        <f t="shared" si="0"/>
        <v>16.922735756016323</v>
      </c>
    </row>
    <row r="7" spans="2:16" ht="17.25">
      <c r="B7" s="57" t="s">
        <v>23</v>
      </c>
      <c r="C7" s="34"/>
      <c r="D7" s="57"/>
      <c r="E7" s="34"/>
      <c r="F7" s="58">
        <v>153</v>
      </c>
      <c r="G7" s="54"/>
      <c r="H7" s="301"/>
      <c r="I7" s="55">
        <f>0.8*$E$5</f>
        <v>3.9600000000000004</v>
      </c>
      <c r="J7" s="56">
        <f t="shared" si="0"/>
        <v>-230.73326424398363</v>
      </c>
      <c r="K7" s="56">
        <f t="shared" si="0"/>
        <v>-172.6404642439835</v>
      </c>
      <c r="L7" s="56">
        <f t="shared" si="0"/>
        <v>-114.5476642439836</v>
      </c>
      <c r="M7" s="56">
        <f t="shared" si="0"/>
        <v>-56.454864243983593</v>
      </c>
      <c r="N7" s="56">
        <f t="shared" si="0"/>
        <v>1.6379357560164181</v>
      </c>
      <c r="O7" s="56">
        <f t="shared" si="0"/>
        <v>59.730735756016429</v>
      </c>
      <c r="P7" s="56">
        <f t="shared" si="0"/>
        <v>117.82353575601644</v>
      </c>
    </row>
    <row r="8" spans="2:16" ht="17.25">
      <c r="B8" s="57" t="s">
        <v>24</v>
      </c>
      <c r="C8" s="34"/>
      <c r="D8" s="57"/>
      <c r="E8" s="34"/>
      <c r="F8" s="59">
        <v>0</v>
      </c>
      <c r="G8" s="54"/>
      <c r="H8" s="301"/>
      <c r="I8" s="55">
        <f>0.9*$E$5</f>
        <v>4.4550000000000001</v>
      </c>
      <c r="J8" s="56">
        <f t="shared" si="0"/>
        <v>-176.40206424398366</v>
      </c>
      <c r="K8" s="56">
        <f t="shared" si="0"/>
        <v>-110.5476642439836</v>
      </c>
      <c r="L8" s="56">
        <f t="shared" si="0"/>
        <v>-44.693264243983663</v>
      </c>
      <c r="M8" s="56">
        <f t="shared" si="0"/>
        <v>21.161135756016279</v>
      </c>
      <c r="N8" s="56">
        <f t="shared" si="0"/>
        <v>87.015535756016448</v>
      </c>
      <c r="O8" s="56">
        <f t="shared" si="0"/>
        <v>152.86993575601639</v>
      </c>
      <c r="P8" s="56">
        <f t="shared" si="0"/>
        <v>218.72433575601633</v>
      </c>
    </row>
    <row r="9" spans="2:16" ht="17.25">
      <c r="B9" s="60" t="s">
        <v>373</v>
      </c>
      <c r="C9" s="34"/>
      <c r="D9" s="61"/>
      <c r="E9" s="61"/>
      <c r="F9" s="62">
        <f>SUM(F5:F8)</f>
        <v>945</v>
      </c>
      <c r="G9" s="63"/>
      <c r="H9" s="301"/>
      <c r="I9" s="64">
        <f>1*$E$5</f>
        <v>4.95</v>
      </c>
      <c r="J9" s="56">
        <f t="shared" si="0"/>
        <v>-122.07086424398369</v>
      </c>
      <c r="K9" s="56">
        <f t="shared" si="0"/>
        <v>-48.454864243983593</v>
      </c>
      <c r="L9" s="56">
        <f t="shared" si="0"/>
        <v>25.161135756016392</v>
      </c>
      <c r="M9" s="65">
        <f>(M$5*$I9+SUM($F$6:$F$8)-((M$5*$I9+SUM($F$6:$F$8))/$F$9*$F$37)-($F$24*M$5/$D$5)-SUM($F$12:$F$13,$F$19,$F$23,$F$25:$F$30,$F$32:$F$33,$F$38))</f>
        <v>98.777135756016378</v>
      </c>
      <c r="N9" s="56">
        <f t="shared" si="0"/>
        <v>172.39313575601636</v>
      </c>
      <c r="O9" s="56">
        <f t="shared" si="0"/>
        <v>246.00913575601646</v>
      </c>
      <c r="P9" s="56">
        <f t="shared" si="0"/>
        <v>319.62513575601645</v>
      </c>
    </row>
    <row r="10" spans="2:16" ht="17.25">
      <c r="B10" s="60"/>
      <c r="C10" s="34"/>
      <c r="D10" s="61"/>
      <c r="E10" s="61"/>
      <c r="F10" s="66"/>
      <c r="G10" s="63"/>
      <c r="H10" s="301"/>
      <c r="I10" s="55">
        <f>1.1*$E$5</f>
        <v>5.4450000000000003</v>
      </c>
      <c r="J10" s="56">
        <f t="shared" si="0"/>
        <v>-67.739664243983611</v>
      </c>
      <c r="K10" s="56">
        <f t="shared" si="0"/>
        <v>13.637935756016418</v>
      </c>
      <c r="L10" s="56">
        <f t="shared" si="0"/>
        <v>95.015535756016448</v>
      </c>
      <c r="M10" s="56">
        <f t="shared" si="0"/>
        <v>176.39313575601636</v>
      </c>
      <c r="N10" s="56">
        <f t="shared" si="0"/>
        <v>257.77073575601651</v>
      </c>
      <c r="O10" s="56">
        <f t="shared" si="0"/>
        <v>339.14833575601631</v>
      </c>
      <c r="P10" s="56">
        <f t="shared" si="0"/>
        <v>420.52593575601634</v>
      </c>
    </row>
    <row r="11" spans="2:16" ht="17.25">
      <c r="B11" s="67" t="s">
        <v>856</v>
      </c>
      <c r="C11" s="40" t="s">
        <v>556</v>
      </c>
      <c r="D11" s="41" t="s">
        <v>25</v>
      </c>
      <c r="E11" s="41" t="s">
        <v>854</v>
      </c>
      <c r="F11" s="41" t="s">
        <v>855</v>
      </c>
      <c r="G11" s="63"/>
      <c r="H11" s="301"/>
      <c r="I11" s="55">
        <f>1.2*$E$5</f>
        <v>5.94</v>
      </c>
      <c r="J11" s="56">
        <f t="shared" si="0"/>
        <v>-13.408464243983531</v>
      </c>
      <c r="K11" s="56">
        <f t="shared" si="0"/>
        <v>75.730735756016429</v>
      </c>
      <c r="L11" s="56">
        <f t="shared" si="0"/>
        <v>164.86993575601639</v>
      </c>
      <c r="M11" s="56">
        <f t="shared" si="0"/>
        <v>254.00913575601646</v>
      </c>
      <c r="N11" s="56">
        <f t="shared" si="0"/>
        <v>343.14833575601631</v>
      </c>
      <c r="O11" s="56">
        <f t="shared" si="0"/>
        <v>432.28753575601638</v>
      </c>
      <c r="P11" s="56">
        <f t="shared" si="0"/>
        <v>521.42673575601623</v>
      </c>
    </row>
    <row r="12" spans="2:16" ht="17.25">
      <c r="B12" s="57" t="s">
        <v>14</v>
      </c>
      <c r="C12" s="7" t="s">
        <v>686</v>
      </c>
      <c r="D12" s="68">
        <v>75</v>
      </c>
      <c r="E12" s="69">
        <v>0.45</v>
      </c>
      <c r="F12" s="46">
        <f>D12*E12</f>
        <v>33.75</v>
      </c>
      <c r="G12" s="63"/>
      <c r="H12" s="301"/>
      <c r="I12" s="70">
        <f>1.3*$E$5</f>
        <v>6.4350000000000005</v>
      </c>
      <c r="J12" s="56">
        <f t="shared" si="0"/>
        <v>40.922735756016323</v>
      </c>
      <c r="K12" s="56">
        <f t="shared" si="0"/>
        <v>137.82353575601644</v>
      </c>
      <c r="L12" s="56">
        <f t="shared" si="0"/>
        <v>234.72433575601656</v>
      </c>
      <c r="M12" s="56">
        <f t="shared" si="0"/>
        <v>331.62513575601645</v>
      </c>
      <c r="N12" s="56">
        <f t="shared" si="0"/>
        <v>428.52593575601657</v>
      </c>
      <c r="O12" s="56">
        <f t="shared" si="0"/>
        <v>525.42673575601623</v>
      </c>
      <c r="P12" s="56">
        <f t="shared" si="0"/>
        <v>622.32753575601635</v>
      </c>
    </row>
    <row r="13" spans="2:16">
      <c r="B13" s="57" t="s">
        <v>26</v>
      </c>
      <c r="C13" s="7"/>
      <c r="D13" s="34"/>
      <c r="E13" s="71"/>
      <c r="F13" s="46">
        <f>SUMPRODUCT(D14:D18,E14:E18)+F17</f>
        <v>201.60000000000002</v>
      </c>
      <c r="G13" s="63"/>
      <c r="H13" s="72"/>
    </row>
    <row r="14" spans="2:16">
      <c r="B14" s="73" t="s">
        <v>27</v>
      </c>
      <c r="C14" s="7" t="s">
        <v>686</v>
      </c>
      <c r="D14" s="45">
        <v>150</v>
      </c>
      <c r="E14" s="71">
        <f>'Input prices'!D4</f>
        <v>0.7</v>
      </c>
      <c r="F14" s="46"/>
      <c r="G14" s="63"/>
      <c r="H14" s="72"/>
    </row>
    <row r="15" spans="2:16">
      <c r="B15" s="73" t="s">
        <v>28</v>
      </c>
      <c r="C15" s="7" t="s">
        <v>686</v>
      </c>
      <c r="D15" s="45">
        <v>60</v>
      </c>
      <c r="E15" s="71">
        <f>'Input prices'!D5</f>
        <v>0.73</v>
      </c>
      <c r="F15" s="46"/>
      <c r="G15" s="63"/>
      <c r="H15" s="74"/>
      <c r="I15"/>
      <c r="J15" s="75"/>
    </row>
    <row r="16" spans="2:16">
      <c r="B16" s="73" t="s">
        <v>8</v>
      </c>
      <c r="C16" s="7" t="s">
        <v>686</v>
      </c>
      <c r="D16" s="45">
        <v>90</v>
      </c>
      <c r="E16" s="71">
        <f>'Input prices'!D6</f>
        <v>0.42</v>
      </c>
      <c r="F16" s="46"/>
      <c r="G16" s="63"/>
      <c r="H16" s="74"/>
      <c r="I16"/>
      <c r="K16" s="76"/>
    </row>
    <row r="17" spans="2:16">
      <c r="B17" s="73" t="s">
        <v>690</v>
      </c>
      <c r="C17" s="7"/>
      <c r="D17" s="34"/>
      <c r="E17" s="71"/>
      <c r="F17" s="77">
        <v>15</v>
      </c>
      <c r="G17" s="63"/>
      <c r="H17" s="72"/>
      <c r="I17" s="1"/>
      <c r="K17" s="76"/>
    </row>
    <row r="18" spans="2:16">
      <c r="B18" s="73" t="s">
        <v>9</v>
      </c>
      <c r="C18" s="7" t="s">
        <v>859</v>
      </c>
      <c r="D18" s="45">
        <v>0</v>
      </c>
      <c r="E18" s="71">
        <f>'Input prices'!D7</f>
        <v>35</v>
      </c>
      <c r="F18" s="78"/>
      <c r="G18" s="63"/>
      <c r="H18" s="72"/>
      <c r="I18" s="9"/>
      <c r="K18" s="79"/>
    </row>
    <row r="19" spans="2:16">
      <c r="B19" s="57" t="s">
        <v>29</v>
      </c>
      <c r="C19" s="7"/>
      <c r="D19" s="34"/>
      <c r="E19" s="71"/>
      <c r="F19" s="46">
        <f>SUMPRODUCT(D20:D22,E20:E22)</f>
        <v>156</v>
      </c>
      <c r="G19" s="37"/>
      <c r="H19" s="72"/>
      <c r="I19" s="9"/>
      <c r="K19" s="309"/>
      <c r="L19" s="309"/>
      <c r="M19" s="309"/>
      <c r="N19" s="309"/>
      <c r="O19" s="309"/>
      <c r="P19" s="309"/>
    </row>
    <row r="20" spans="2:16">
      <c r="B20" s="73" t="s">
        <v>15</v>
      </c>
      <c r="C20" s="7" t="s">
        <v>860</v>
      </c>
      <c r="D20" s="45">
        <v>3</v>
      </c>
      <c r="E20" s="69">
        <v>45</v>
      </c>
      <c r="F20" s="46"/>
      <c r="G20" s="37"/>
      <c r="H20" s="72"/>
      <c r="I20" s="9"/>
      <c r="K20" s="283"/>
    </row>
    <row r="21" spans="2:16">
      <c r="B21" s="73" t="s">
        <v>691</v>
      </c>
      <c r="C21" s="7" t="s">
        <v>860</v>
      </c>
      <c r="D21" s="45">
        <v>0</v>
      </c>
      <c r="E21" s="69">
        <v>6</v>
      </c>
      <c r="F21" s="46"/>
      <c r="G21" s="37"/>
      <c r="H21" s="72"/>
      <c r="I21" s="9"/>
      <c r="K21" s="283"/>
    </row>
    <row r="22" spans="2:16">
      <c r="B22" s="73" t="s">
        <v>692</v>
      </c>
      <c r="C22" s="7" t="s">
        <v>860</v>
      </c>
      <c r="D22" s="45">
        <v>1</v>
      </c>
      <c r="E22" s="69">
        <v>21</v>
      </c>
      <c r="F22" s="46"/>
      <c r="G22" s="63"/>
      <c r="H22" s="72"/>
      <c r="I22" s="9"/>
      <c r="K22" s="283"/>
    </row>
    <row r="23" spans="2:16">
      <c r="B23" s="57" t="s">
        <v>359</v>
      </c>
      <c r="C23" s="7" t="s">
        <v>861</v>
      </c>
      <c r="D23" s="45">
        <v>30</v>
      </c>
      <c r="E23" s="71">
        <f>IFERROR(HLOOKUP($D$3,'Irrigation costs'!$D$2:$F$17,15,FALSE),0)</f>
        <v>2.76</v>
      </c>
      <c r="F23" s="46">
        <f>D23*E23</f>
        <v>82.8</v>
      </c>
      <c r="G23" s="63"/>
      <c r="H23" s="72"/>
      <c r="I23" s="9"/>
      <c r="K23" s="80"/>
    </row>
    <row r="24" spans="2:16">
      <c r="B24" s="57" t="s">
        <v>755</v>
      </c>
      <c r="C24" s="7" t="s">
        <v>862</v>
      </c>
      <c r="D24" s="81">
        <v>0.05</v>
      </c>
      <c r="E24" s="69">
        <v>0.05</v>
      </c>
      <c r="F24" s="46">
        <f>IFERROR(D24*100*E24*D5,0)</f>
        <v>40</v>
      </c>
      <c r="G24" s="63"/>
      <c r="H24" s="72"/>
      <c r="I24" s="9"/>
      <c r="K24" s="79"/>
    </row>
    <row r="25" spans="2:16">
      <c r="B25" s="57" t="s">
        <v>30</v>
      </c>
      <c r="C25" s="7"/>
      <c r="D25" s="34"/>
      <c r="E25" s="71"/>
      <c r="F25" s="58">
        <v>8.5</v>
      </c>
      <c r="G25" s="63"/>
      <c r="H25" s="72"/>
      <c r="I25" s="1"/>
      <c r="K25" s="76"/>
    </row>
    <row r="26" spans="2:16">
      <c r="B26" s="57" t="s">
        <v>31</v>
      </c>
      <c r="C26" s="7"/>
      <c r="D26" s="34"/>
      <c r="E26" s="71"/>
      <c r="F26" s="58">
        <v>30</v>
      </c>
      <c r="G26" s="63"/>
      <c r="H26" s="72"/>
      <c r="I26" s="9"/>
      <c r="K26" s="82"/>
    </row>
    <row r="27" spans="2:16">
      <c r="B27" s="57" t="s">
        <v>32</v>
      </c>
      <c r="C27" s="7" t="s">
        <v>654</v>
      </c>
      <c r="D27" s="34"/>
      <c r="E27" s="71"/>
      <c r="F27" s="83">
        <f>G57</f>
        <v>46.850999999999999</v>
      </c>
      <c r="G27" s="63"/>
      <c r="H27" s="72"/>
      <c r="I27" s="9"/>
      <c r="K27" s="82"/>
    </row>
    <row r="28" spans="2:16">
      <c r="B28" s="57" t="s">
        <v>808</v>
      </c>
      <c r="C28" s="7" t="s">
        <v>863</v>
      </c>
      <c r="D28" s="34">
        <f>F73</f>
        <v>0.78121700603318245</v>
      </c>
      <c r="E28" s="71">
        <f>'Input prices'!D8</f>
        <v>22.5</v>
      </c>
      <c r="F28" s="83">
        <f>E28*D28</f>
        <v>17.577382635746606</v>
      </c>
      <c r="G28" s="63"/>
      <c r="H28" s="72"/>
      <c r="I28" s="9"/>
      <c r="K28" s="82"/>
    </row>
    <row r="29" spans="2:16">
      <c r="B29" s="57" t="s">
        <v>702</v>
      </c>
      <c r="C29" s="7" t="s">
        <v>864</v>
      </c>
      <c r="D29" s="34">
        <f>E73</f>
        <v>7.7458802197802203</v>
      </c>
      <c r="E29" s="71">
        <f>'Input prices'!D9</f>
        <v>2.9</v>
      </c>
      <c r="F29" s="83">
        <f>D29*E29</f>
        <v>22.463052637362637</v>
      </c>
      <c r="G29" s="63"/>
      <c r="H29" s="72"/>
      <c r="I29" s="9"/>
      <c r="K29" s="76"/>
    </row>
    <row r="30" spans="2:16">
      <c r="B30" s="57" t="s">
        <v>33</v>
      </c>
      <c r="C30" s="84" t="s">
        <v>654</v>
      </c>
      <c r="D30" s="85"/>
      <c r="E30" s="34"/>
      <c r="F30" s="83">
        <f>G73-F29-F28</f>
        <v>41.039235435753895</v>
      </c>
      <c r="G30" s="63"/>
      <c r="H30" s="72"/>
      <c r="I30" s="9"/>
      <c r="K30" s="86"/>
    </row>
    <row r="31" spans="2:16">
      <c r="B31" s="57" t="s">
        <v>366</v>
      </c>
      <c r="C31" s="84" t="s">
        <v>865</v>
      </c>
      <c r="D31" s="197">
        <v>0.03</v>
      </c>
      <c r="E31" s="34"/>
      <c r="F31" s="83">
        <f>F9*D31</f>
        <v>28.349999999999998</v>
      </c>
      <c r="G31" s="63"/>
      <c r="H31" s="72"/>
      <c r="I31" s="9"/>
      <c r="K31" s="87"/>
    </row>
    <row r="32" spans="2:16">
      <c r="B32" s="57" t="s">
        <v>34</v>
      </c>
      <c r="C32" s="7" t="s">
        <v>654</v>
      </c>
      <c r="D32" s="85"/>
      <c r="E32" s="34"/>
      <c r="F32" s="58">
        <v>0</v>
      </c>
      <c r="G32" s="63"/>
      <c r="H32" s="72"/>
    </row>
    <row r="33" spans="2:8">
      <c r="B33" s="57" t="s">
        <v>11</v>
      </c>
      <c r="C33" s="84" t="s">
        <v>866</v>
      </c>
      <c r="D33" s="88">
        <f>SUM(F12:F13,F19,F24:F32)/2</f>
        <v>313.06533535443162</v>
      </c>
      <c r="E33" s="89">
        <f>'Input prices'!D10</f>
        <v>7.2499999999999995E-2</v>
      </c>
      <c r="F33" s="90">
        <f>E33*D33</f>
        <v>22.697236813196291</v>
      </c>
      <c r="G33" s="91"/>
      <c r="H33" s="72"/>
    </row>
    <row r="34" spans="2:8">
      <c r="B34" s="60" t="s">
        <v>372</v>
      </c>
      <c r="C34" s="92"/>
      <c r="D34" s="61"/>
      <c r="E34" s="34"/>
      <c r="F34" s="62">
        <f>SUM(F12:F13,F19,F23:F33)</f>
        <v>731.62790752205945</v>
      </c>
      <c r="G34" s="63"/>
      <c r="H34" s="72"/>
    </row>
    <row r="35" spans="2:8">
      <c r="B35" s="36"/>
      <c r="C35" s="92"/>
      <c r="D35" s="61"/>
      <c r="E35" s="34"/>
      <c r="F35" s="36"/>
      <c r="G35" s="63"/>
      <c r="H35" s="72"/>
    </row>
    <row r="36" spans="2:8" ht="17.25">
      <c r="B36" s="67" t="s">
        <v>867</v>
      </c>
      <c r="C36" s="40" t="s">
        <v>556</v>
      </c>
      <c r="D36" s="41" t="s">
        <v>25</v>
      </c>
      <c r="E36" s="41" t="s">
        <v>854</v>
      </c>
      <c r="F36" s="41" t="s">
        <v>855</v>
      </c>
      <c r="G36" s="63"/>
      <c r="H36" s="72"/>
    </row>
    <row r="37" spans="2:8">
      <c r="B37" s="57" t="s">
        <v>18</v>
      </c>
      <c r="C37" s="84" t="s">
        <v>865</v>
      </c>
      <c r="D37" s="197">
        <v>0.02</v>
      </c>
      <c r="E37" s="34"/>
      <c r="F37" s="46">
        <f>D37*F9</f>
        <v>18.900000000000002</v>
      </c>
      <c r="G37" s="63"/>
      <c r="H37" s="72"/>
    </row>
    <row r="38" spans="2:8">
      <c r="B38" s="57" t="s">
        <v>376</v>
      </c>
      <c r="C38" s="84" t="s">
        <v>654</v>
      </c>
      <c r="D38" s="61"/>
      <c r="E38" s="34"/>
      <c r="F38" s="46">
        <f>H73+HLOOKUP(D3,'Irrigation costs'!$D$2:$G$17,14, FALSE)</f>
        <v>124.04495672192421</v>
      </c>
      <c r="G38" s="63"/>
      <c r="H38" s="72"/>
    </row>
    <row r="39" spans="2:8">
      <c r="B39" s="57" t="s">
        <v>35</v>
      </c>
      <c r="C39" s="84" t="s">
        <v>654</v>
      </c>
      <c r="D39" s="61"/>
      <c r="E39" s="34"/>
      <c r="F39" s="93">
        <v>225</v>
      </c>
      <c r="G39" s="91"/>
      <c r="H39" s="72"/>
    </row>
    <row r="40" spans="2:8">
      <c r="B40" s="60" t="s">
        <v>868</v>
      </c>
      <c r="C40" s="92"/>
      <c r="D40" s="61"/>
      <c r="E40" s="34"/>
      <c r="F40" s="62">
        <f>SUM(F37:F39)</f>
        <v>367.9449567219242</v>
      </c>
      <c r="G40" s="63"/>
      <c r="H40" s="72"/>
    </row>
    <row r="41" spans="2:8">
      <c r="B41" s="36"/>
      <c r="C41" s="34"/>
      <c r="D41" s="61"/>
      <c r="E41" s="34"/>
      <c r="F41" s="46"/>
      <c r="G41" s="91"/>
      <c r="H41" s="72"/>
    </row>
    <row r="42" spans="2:8" ht="15" customHeight="1">
      <c r="B42" s="60" t="s">
        <v>375</v>
      </c>
      <c r="C42" s="34"/>
      <c r="D42" s="61"/>
      <c r="E42" s="61"/>
      <c r="F42" s="62">
        <f>F34+F40</f>
        <v>1099.5728642439835</v>
      </c>
      <c r="G42" s="37"/>
      <c r="H42" s="72"/>
    </row>
    <row r="43" spans="2:8">
      <c r="B43" s="94"/>
      <c r="C43" s="95"/>
      <c r="D43" s="96"/>
      <c r="E43" s="95"/>
      <c r="F43" s="97"/>
      <c r="G43" s="63"/>
      <c r="H43" s="72"/>
    </row>
    <row r="44" spans="2:8">
      <c r="B44" s="98" t="s">
        <v>367</v>
      </c>
      <c r="C44" s="34"/>
      <c r="D44" s="61"/>
      <c r="E44" s="34"/>
      <c r="F44" s="62">
        <f>F9-F34</f>
        <v>213.37209247794055</v>
      </c>
      <c r="G44" s="63"/>
      <c r="H44" s="72"/>
    </row>
    <row r="45" spans="2:8">
      <c r="B45" s="98" t="s">
        <v>368</v>
      </c>
      <c r="C45" s="34"/>
      <c r="D45" s="61"/>
      <c r="E45" s="34"/>
      <c r="F45" s="62">
        <f>F9-F42</f>
        <v>-154.57286424398353</v>
      </c>
      <c r="G45" s="37"/>
      <c r="H45" s="72"/>
    </row>
    <row r="46" spans="2:8">
      <c r="B46" s="99" t="s">
        <v>369</v>
      </c>
      <c r="C46" s="100"/>
      <c r="D46" s="101"/>
      <c r="E46" s="100"/>
      <c r="F46" s="102">
        <f>F9-F42+F39+F31</f>
        <v>98.777135756016463</v>
      </c>
      <c r="G46" s="63"/>
      <c r="H46" s="72"/>
    </row>
    <row r="47" spans="2:8">
      <c r="B47" s="36"/>
      <c r="C47" s="34"/>
      <c r="D47" s="34" t="s">
        <v>36</v>
      </c>
      <c r="E47" s="34"/>
      <c r="F47" s="46">
        <f>F34/D5</f>
        <v>4.5726744220128719</v>
      </c>
      <c r="G47" s="63"/>
      <c r="H47" s="72"/>
    </row>
    <row r="48" spans="2:8">
      <c r="B48" s="36"/>
      <c r="C48" s="34"/>
      <c r="D48" s="34" t="s">
        <v>37</v>
      </c>
      <c r="E48" s="34"/>
      <c r="F48" s="46">
        <f>F40/D5</f>
        <v>2.2996559795120262</v>
      </c>
      <c r="G48" s="63"/>
      <c r="H48" s="72"/>
    </row>
    <row r="49" spans="2:9">
      <c r="B49" s="103"/>
      <c r="C49" s="100"/>
      <c r="D49" s="100" t="s">
        <v>38</v>
      </c>
      <c r="E49" s="100"/>
      <c r="F49" s="90">
        <f>F42/D5</f>
        <v>6.8723304015248967</v>
      </c>
      <c r="G49" s="63"/>
      <c r="H49" s="72"/>
    </row>
    <row r="50" spans="2:9">
      <c r="B50" s="37"/>
      <c r="C50" s="63"/>
      <c r="D50" s="104"/>
      <c r="E50" s="63"/>
      <c r="F50" s="37"/>
      <c r="G50" s="63"/>
      <c r="H50" s="72"/>
    </row>
    <row r="51" spans="2:9">
      <c r="B51" s="302" t="s">
        <v>869</v>
      </c>
      <c r="C51" s="302"/>
      <c r="D51" s="302"/>
      <c r="E51" s="302"/>
      <c r="F51" s="302"/>
      <c r="G51" s="106"/>
      <c r="H51" s="72"/>
    </row>
    <row r="52" spans="2:9">
      <c r="B52" s="107" t="s">
        <v>560</v>
      </c>
      <c r="C52" s="108" t="s">
        <v>561</v>
      </c>
      <c r="D52" s="108" t="s">
        <v>556</v>
      </c>
      <c r="E52" s="108" t="s">
        <v>754</v>
      </c>
      <c r="F52" s="108" t="s">
        <v>10</v>
      </c>
      <c r="G52" s="109" t="s">
        <v>698</v>
      </c>
      <c r="H52" s="72"/>
    </row>
    <row r="53" spans="2:9">
      <c r="B53" s="110" t="s">
        <v>563</v>
      </c>
      <c r="C53" s="111">
        <f>IF(ISBLANK($B53),"",VLOOKUP($B53,'Machinery Input Tables'!$C$133:$F$184,2,FALSE))</f>
        <v>7.3709999999999996</v>
      </c>
      <c r="D53" s="111" t="str">
        <f>IF(ISBLANK($B53),"",VLOOKUP($B53,'Machinery Input Tables'!$C$133:$F$184,3,FALSE))</f>
        <v>per acre</v>
      </c>
      <c r="E53" s="112"/>
      <c r="F53" s="110">
        <v>1</v>
      </c>
      <c r="G53" s="113">
        <f>IFERROR(C53*F53*IF(D53="per acre",1,E53),"-")</f>
        <v>7.3709999999999996</v>
      </c>
      <c r="H53" s="72"/>
    </row>
    <row r="54" spans="2:9">
      <c r="B54" s="110" t="s">
        <v>700</v>
      </c>
      <c r="C54" s="111">
        <f>IF(ISBLANK($B54),"",VLOOKUP($B54,'Machinery Input Tables'!$C$133:$F$184,2,FALSE))</f>
        <v>12.600000000000001</v>
      </c>
      <c r="D54" s="111" t="str">
        <f>IF(ISBLANK($B54),"",VLOOKUP($B54,'Machinery Input Tables'!$C$133:$F$184,3,FALSE))</f>
        <v>per acre</v>
      </c>
      <c r="E54" s="112"/>
      <c r="F54" s="110">
        <v>1</v>
      </c>
      <c r="G54" s="113">
        <f t="shared" ref="G54:G56" si="1">IFERROR(C54*F54*IF(D54="per acre",1,E54),"-")</f>
        <v>12.600000000000001</v>
      </c>
      <c r="H54" s="72"/>
    </row>
    <row r="55" spans="2:9">
      <c r="B55" s="114" t="s">
        <v>919</v>
      </c>
      <c r="C55" s="111">
        <f>IF(ISBLANK($B55),"",VLOOKUP($B55,'Machinery Input Tables'!$C$133:$F$184,2,FALSE))</f>
        <v>8.4000000000000005E-2</v>
      </c>
      <c r="D55" s="111" t="str">
        <f>IF(ISBLANK($B55),"",VLOOKUP($B55,'Machinery Input Tables'!$C$133:$F$184,3,FALSE))</f>
        <v>per pound</v>
      </c>
      <c r="E55" s="114">
        <v>320</v>
      </c>
      <c r="F55" s="114">
        <v>1</v>
      </c>
      <c r="G55" s="113">
        <f t="shared" si="1"/>
        <v>26.880000000000003</v>
      </c>
      <c r="H55" s="72"/>
    </row>
    <row r="56" spans="2:9">
      <c r="B56" s="115"/>
      <c r="C56" s="116" t="str">
        <f>IF(ISBLANK($B56),"",VLOOKUP($B56,'Machinery Input Tables'!$C$133:$F$184,2,FALSE))</f>
        <v/>
      </c>
      <c r="D56" s="117" t="str">
        <f>IF(ISBLANK($B56),"",VLOOKUP($B56,'Machinery Input Tables'!$C$133:$F$184,3,FALSE))</f>
        <v/>
      </c>
      <c r="E56" s="115"/>
      <c r="F56" s="115"/>
      <c r="G56" s="118" t="str">
        <f t="shared" si="1"/>
        <v>-</v>
      </c>
      <c r="H56" s="72"/>
    </row>
    <row r="57" spans="2:9">
      <c r="B57" s="119" t="s">
        <v>699</v>
      </c>
      <c r="C57" s="120"/>
      <c r="D57" s="119"/>
      <c r="E57" s="120"/>
      <c r="F57" s="120"/>
      <c r="G57" s="121">
        <f>SUM(G53:G56)</f>
        <v>46.850999999999999</v>
      </c>
      <c r="H57" s="72"/>
    </row>
    <row r="58" spans="2:9" s="6" customFormat="1" ht="17.25">
      <c r="B58" s="302" t="s">
        <v>870</v>
      </c>
      <c r="C58" s="302"/>
      <c r="D58" s="302"/>
      <c r="E58" s="302"/>
      <c r="F58" s="302"/>
      <c r="G58" s="302"/>
      <c r="H58" s="302"/>
      <c r="I58" s="302"/>
    </row>
    <row r="59" spans="2:9">
      <c r="B59" s="303" t="s">
        <v>497</v>
      </c>
      <c r="C59" s="305" t="s">
        <v>498</v>
      </c>
      <c r="D59" s="123" t="s">
        <v>871</v>
      </c>
      <c r="E59" s="305" t="s">
        <v>499</v>
      </c>
      <c r="F59" s="305" t="s">
        <v>500</v>
      </c>
      <c r="G59" s="122" t="s">
        <v>501</v>
      </c>
      <c r="H59" s="122" t="s">
        <v>502</v>
      </c>
      <c r="I59" s="307" t="s">
        <v>503</v>
      </c>
    </row>
    <row r="60" spans="2:9">
      <c r="B60" s="304"/>
      <c r="C60" s="306"/>
      <c r="D60" s="125" t="s">
        <v>872</v>
      </c>
      <c r="E60" s="306"/>
      <c r="F60" s="306"/>
      <c r="G60" s="124" t="s">
        <v>516</v>
      </c>
      <c r="H60" s="124" t="s">
        <v>516</v>
      </c>
      <c r="I60" s="308"/>
    </row>
    <row r="61" spans="2:9">
      <c r="B61" s="126"/>
      <c r="C61" s="127" t="s">
        <v>873</v>
      </c>
      <c r="D61" s="128" t="s">
        <v>522</v>
      </c>
      <c r="E61" s="128" t="s">
        <v>519</v>
      </c>
      <c r="F61" s="128" t="s">
        <v>520</v>
      </c>
      <c r="G61" s="128" t="s">
        <v>521</v>
      </c>
      <c r="H61" s="128" t="s">
        <v>521</v>
      </c>
      <c r="I61" s="128" t="s">
        <v>523</v>
      </c>
    </row>
    <row r="62" spans="2:9">
      <c r="B62" s="129" t="s">
        <v>791</v>
      </c>
      <c r="C62" s="129" t="s">
        <v>649</v>
      </c>
      <c r="D62" s="130">
        <v>2</v>
      </c>
      <c r="E62" s="131">
        <f>IFERROR(IF(ISBLANK(C62),"",IF(OR(ISBLANK(B62),IFERROR(VLOOKUP(B62,'Machinery Input Tables'!$B$6:$AF$121,13,FALSE),"")='Machinery Input Tables'!$N$128),1,VLOOKUP(B62,'Machinery Input Tables'!$B$6:$AF$121,28,FALSE))*VLOOKUP(C62,'Machinery Input Tables'!$AH$6:$BA$32,19,FALSE))*D62,"-")</f>
        <v>1.5125</v>
      </c>
      <c r="F62" s="131">
        <f>IFERROR(IF(AND(ISBLANK(B62)*ISBLANK(C62)),"",IF(ISBLANK(B62),1,IF(VLOOKUP(B62,'Machinery Input Tables'!$B$6:$AF$121,13,FALSE)='Machinery Input Tables'!$N$128,VLOOKUP(B62,'Machinery Input Tables'!$B$6:$AF$121,17,FALSE),VLOOKUP(B62,'Machinery Input Tables'!$B$6:$AF$121,28,FALSE))))*D62,"-")</f>
        <v>0.10110294117647059</v>
      </c>
      <c r="G62" s="132">
        <f>IFERROR(IF(ISBLANK(C62),"",E62*'Machinery Input Tables'!$BP$10+F62*'Machinery Input Tables'!$BP$6+(VLOOKUP(C62,'Machinery Input Tables'!$AH$6:$BA$32,18,FALSE)*IF(IFERROR(VLOOKUP(B62,'Machinery Input Tables'!$B$6:$AF$121,13,FALSE)='Machinery Input Tables'!$N$128,1),1,VLOOKUP(B62,'Machinery Input Tables'!$B$6:$AF$121,28,FALSE))+IFERROR(VLOOKUP(B62,'Machinery Input Tables'!$B$6:$AF$121,27,FALSE),0))*D62),"-")</f>
        <v>13.766064929772497</v>
      </c>
      <c r="H62" s="132">
        <f>IFERROR((IFERROR(VLOOKUP(B62,'Machinery Input Tables'!$B$6:$AF$121,24,FALSE),0)+VLOOKUP(C62,'Machinery Input Tables'!$AH$6:$BA$32,20,FALSE))*IF(IFERROR(VLOOKUP(B62,'Machinery Input Tables'!$B$6:$AF$121,13,FALSE)='Machinery Input Tables'!$N$128,1),1,VLOOKUP(B62,'Machinery Input Tables'!$B$6:$AF$121,28,FALSE))*D62,"-")</f>
        <v>21.172569014582731</v>
      </c>
      <c r="I62" s="132">
        <f>IFERROR(IF(ISBLANK(AND(B62,C62)),"",SUM(G62:H62)),"-")</f>
        <v>34.938633944355232</v>
      </c>
    </row>
    <row r="63" spans="2:9">
      <c r="B63" s="129" t="s">
        <v>790</v>
      </c>
      <c r="C63" s="129" t="s">
        <v>649</v>
      </c>
      <c r="D63" s="130">
        <v>1</v>
      </c>
      <c r="E63" s="131">
        <f>IFERROR(IF(ISBLANK(C63),"",IF(OR(ISBLANK(B63),IFERROR(VLOOKUP(B63,'Machinery Input Tables'!$B$6:$AF$121,13,FALSE),"")='Machinery Input Tables'!$N$128),1,VLOOKUP(B63,'Machinery Input Tables'!$B$6:$AF$121,28,FALSE))*VLOOKUP(C63,'Machinery Input Tables'!$AH$6:$BA$32,19,FALSE))*D63,"-")</f>
        <v>0.46095238095238095</v>
      </c>
      <c r="F63" s="131">
        <f>IFERROR(IF(AND(ISBLANK(B63)*ISBLANK(C63)),"",IF(ISBLANK(B63),1,IF(VLOOKUP(B63,'Machinery Input Tables'!$B$6:$AF$121,13,FALSE)='Machinery Input Tables'!$N$128,VLOOKUP(B63,'Machinery Input Tables'!$B$6:$AF$121,17,FALSE),VLOOKUP(B63,'Machinery Input Tables'!$B$6:$AF$121,28,FALSE))))*D63,"-")</f>
        <v>3.081232492997199E-2</v>
      </c>
      <c r="G63" s="132">
        <f>IFERROR(IF(ISBLANK(C63),"",E63*'Machinery Input Tables'!$BP$10+F63*'Machinery Input Tables'!$BP$6+(VLOOKUP(C63,'Machinery Input Tables'!$AH$6:$BA$32,18,FALSE)*IF(IFERROR(VLOOKUP(B63,'Machinery Input Tables'!$B$6:$AF$121,13,FALSE)='Machinery Input Tables'!$N$128,1),1,VLOOKUP(B63,'Machinery Input Tables'!$B$6:$AF$121,28,FALSE))+IFERROR(VLOOKUP(B63,'Machinery Input Tables'!$B$6:$AF$121,27,FALSE),0))*D63),"-")</f>
        <v>3.9627231707999955</v>
      </c>
      <c r="H63" s="132">
        <f>IFERROR((IFERROR(VLOOKUP(B63,'Machinery Input Tables'!$B$6:$AF$121,24,FALSE),0)+VLOOKUP(C63,'Machinery Input Tables'!$AH$6:$BA$32,20,FALSE))*IF(IFERROR(VLOOKUP(B63,'Machinery Input Tables'!$B$6:$AF$121,13,FALSE)='Machinery Input Tables'!$N$128,1),1,VLOOKUP(B63,'Machinery Input Tables'!$B$6:$AF$121,28,FALSE))*D63,"-")</f>
        <v>6.0752815232866446</v>
      </c>
      <c r="I63" s="132">
        <f t="shared" ref="I63:I72" si="2">IFERROR(IF(ISBLANK(AND(B63,C63)),"",SUM(G63:H63)),"-")</f>
        <v>10.03800469408664</v>
      </c>
    </row>
    <row r="64" spans="2:9">
      <c r="B64" s="129" t="s">
        <v>801</v>
      </c>
      <c r="C64" s="129" t="s">
        <v>649</v>
      </c>
      <c r="D64" s="130">
        <v>1</v>
      </c>
      <c r="E64" s="131">
        <f>IFERROR(IF(ISBLANK(C64),"",IF(OR(ISBLANK(B64),IFERROR(VLOOKUP(B64,'Machinery Input Tables'!$B$6:$AF$121,13,FALSE),"")='Machinery Input Tables'!$N$128),1,VLOOKUP(B64,'Machinery Input Tables'!$B$6:$AF$121,28,FALSE))*VLOOKUP(C64,'Machinery Input Tables'!$AH$6:$BA$32,19,FALSE))*D64,"-")</f>
        <v>0.63292307692307692</v>
      </c>
      <c r="F64" s="131">
        <f>IFERROR(IF(AND(ISBLANK(B64)*ISBLANK(C64)),"",IF(ISBLANK(B64),1,IF(VLOOKUP(B64,'Machinery Input Tables'!$B$6:$AF$121,13,FALSE)='Machinery Input Tables'!$N$128,VLOOKUP(B64,'Machinery Input Tables'!$B$6:$AF$121,17,FALSE),VLOOKUP(B64,'Machinery Input Tables'!$B$6:$AF$121,28,FALSE))))*D64,"-")</f>
        <v>4.230769230769231E-2</v>
      </c>
      <c r="G64" s="132">
        <f>IFERROR(IF(ISBLANK(C64),"",E64*'Machinery Input Tables'!$BP$10+F64*'Machinery Input Tables'!$BP$6+(VLOOKUP(C64,'Machinery Input Tables'!$AH$6:$BA$32,18,FALSE)*IF(IFERROR(VLOOKUP(B64,'Machinery Input Tables'!$B$6:$AF$121,13,FALSE)='Machinery Input Tables'!$N$128,1),1,VLOOKUP(B64,'Machinery Input Tables'!$B$6:$AF$121,28,FALSE))+IFERROR(VLOOKUP(B64,'Machinery Input Tables'!$B$6:$AF$121,27,FALSE),0))*D64),"-")</f>
        <v>10.594481701549864</v>
      </c>
      <c r="H64" s="132">
        <f>IFERROR((IFERROR(VLOOKUP(B64,'Machinery Input Tables'!$B$6:$AF$121,24,FALSE),0)+VLOOKUP(C64,'Machinery Input Tables'!$AH$6:$BA$32,20,FALSE))*IF(IFERROR(VLOOKUP(B64,'Machinery Input Tables'!$B$6:$AF$121,13,FALSE)='Machinery Input Tables'!$N$128,1),1,VLOOKUP(B64,'Machinery Input Tables'!$B$6:$AF$121,28,FALSE))*D64,"-")</f>
        <v>13.991922328083596</v>
      </c>
      <c r="I64" s="132">
        <f t="shared" si="2"/>
        <v>24.58640402963346</v>
      </c>
    </row>
    <row r="65" spans="2:9">
      <c r="B65" s="129" t="s">
        <v>694</v>
      </c>
      <c r="C65" s="129" t="s">
        <v>678</v>
      </c>
      <c r="D65" s="130">
        <v>2</v>
      </c>
      <c r="E65" s="131">
        <f>IFERROR(IF(ISBLANK(C65),"",IF(OR(ISBLANK(B65),IFERROR(VLOOKUP(B65,'Machinery Input Tables'!$B$6:$AF$121,13,FALSE),"")='Machinery Input Tables'!$N$128),1,VLOOKUP(B65,'Machinery Input Tables'!$B$6:$AF$121,28,FALSE))*VLOOKUP(C65,'Machinery Input Tables'!$AH$6:$BA$32,19,FALSE))*D65,"-")</f>
        <v>0.25208333333333333</v>
      </c>
      <c r="F65" s="131">
        <f>IFERROR(IF(AND(ISBLANK(B65)*ISBLANK(C65)),"",IF(ISBLANK(B65),1,IF(VLOOKUP(B65,'Machinery Input Tables'!$B$6:$AF$121,13,FALSE)='Machinery Input Tables'!$N$128,VLOOKUP(B65,'Machinery Input Tables'!$B$6:$AF$121,17,FALSE),VLOOKUP(B65,'Machinery Input Tables'!$B$6:$AF$121,28,FALSE))))*D65,"-")</f>
        <v>1.8333333333333333E-2</v>
      </c>
      <c r="G65" s="132">
        <f>IFERROR(IF(ISBLANK(C65),"",E65*'Machinery Input Tables'!$BP$10+F65*'Machinery Input Tables'!$BP$6+(VLOOKUP(C65,'Machinery Input Tables'!$AH$6:$BA$32,18,FALSE)*IF(IFERROR(VLOOKUP(B65,'Machinery Input Tables'!$B$6:$AF$121,13,FALSE)='Machinery Input Tables'!$N$128,1),1,VLOOKUP(B65,'Machinery Input Tables'!$B$6:$AF$121,28,FALSE))+IFERROR(VLOOKUP(B65,'Machinery Input Tables'!$B$6:$AF$121,27,FALSE),0))*D65),"-")</f>
        <v>5.6238073564489781</v>
      </c>
      <c r="H65" s="132">
        <f>IFERROR((IFERROR(VLOOKUP(B65,'Machinery Input Tables'!$B$6:$AF$121,24,FALSE),0)+VLOOKUP(C65,'Machinery Input Tables'!$AH$6:$BA$32,20,FALSE))*IF(IFERROR(VLOOKUP(B65,'Machinery Input Tables'!$B$6:$AF$121,13,FALSE)='Machinery Input Tables'!$N$128,1),1,VLOOKUP(B65,'Machinery Input Tables'!$B$6:$AF$121,28,FALSE))*D65,"-")</f>
        <v>3.2000737164930664</v>
      </c>
      <c r="I65" s="132">
        <f t="shared" si="2"/>
        <v>8.8238810729420436</v>
      </c>
    </row>
    <row r="66" spans="2:9">
      <c r="B66" s="129" t="s">
        <v>756</v>
      </c>
      <c r="C66" s="129" t="s">
        <v>926</v>
      </c>
      <c r="D66" s="130">
        <v>1</v>
      </c>
      <c r="E66" s="131">
        <f>IFERROR(IF(ISBLANK(C66),"",IF(OR(ISBLANK(B66),IFERROR(VLOOKUP(B66,'Machinery Input Tables'!$B$6:$AF$121,13,FALSE),"")='Machinery Input Tables'!$N$128),1,VLOOKUP(B66,'Machinery Input Tables'!$B$6:$AF$121,28,FALSE))*VLOOKUP(C66,'Machinery Input Tables'!$AH$6:$BA$32,19,FALSE))*D66,"-")</f>
        <v>2.2098214285714288</v>
      </c>
      <c r="F66" s="131">
        <f>IFERROR(IF(AND(ISBLANK(B66)*ISBLANK(C66)),"",IF(ISBLANK(B66),1,IF(VLOOKUP(B66,'Machinery Input Tables'!$B$6:$AF$121,13,FALSE)='Machinery Input Tables'!$N$128,VLOOKUP(B66,'Machinery Input Tables'!$B$6:$AF$121,17,FALSE),VLOOKUP(B66,'Machinery Input Tables'!$B$6:$AF$121,28,FALSE))))*D66,"-")</f>
        <v>7.3660714285714288E-2</v>
      </c>
      <c r="G66" s="132">
        <f>IFERROR(IF(ISBLANK(C66),"",E66*'Machinery Input Tables'!$BP$10+F66*'Machinery Input Tables'!$BP$6+(VLOOKUP(C66,'Machinery Input Tables'!$AH$6:$BA$32,18,FALSE)*IF(IFERROR(VLOOKUP(B66,'Machinery Input Tables'!$B$6:$AF$121,13,FALSE)='Machinery Input Tables'!$N$128,1),1,VLOOKUP(B66,'Machinery Input Tables'!$B$6:$AF$121,28,FALSE))+IFERROR(VLOOKUP(B66,'Machinery Input Tables'!$B$6:$AF$121,27,FALSE),0))*D66),"-")</f>
        <v>16.329768692922244</v>
      </c>
      <c r="H66" s="132">
        <f>IFERROR((IFERROR(VLOOKUP(B66,'Machinery Input Tables'!$B$6:$AF$121,24,FALSE),0)+VLOOKUP(C66,'Machinery Input Tables'!$AH$6:$BA$32,20,FALSE))*IF(IFERROR(VLOOKUP(B66,'Machinery Input Tables'!$B$6:$AF$121,13,FALSE)='Machinery Input Tables'!$N$128,1),1,VLOOKUP(B66,'Machinery Input Tables'!$B$6:$AF$121,28,FALSE))*D66,"-")</f>
        <v>23.103917063089519</v>
      </c>
      <c r="I66" s="132">
        <f t="shared" si="2"/>
        <v>39.433685756011762</v>
      </c>
    </row>
    <row r="67" spans="2:9">
      <c r="B67" s="129" t="s">
        <v>846</v>
      </c>
      <c r="C67" s="129" t="s">
        <v>693</v>
      </c>
      <c r="D67" s="130">
        <v>0.05</v>
      </c>
      <c r="E67" s="131">
        <f>IFERROR(IF(ISBLANK(C67),"",IF(OR(ISBLANK(B67),IFERROR(VLOOKUP(B67,'Machinery Input Tables'!$B$6:$AF$121,13,FALSE),"")='Machinery Input Tables'!$N$128),1,VLOOKUP(B67,'Machinery Input Tables'!$B$6:$AF$121,28,FALSE))*VLOOKUP(C67,'Machinery Input Tables'!$AH$6:$BA$32,19,FALSE))*D67,"-")</f>
        <v>0.61599999999999999</v>
      </c>
      <c r="F67" s="131">
        <f>IFERROR(IF(AND(ISBLANK(B67)*ISBLANK(C67)),"",IF(ISBLANK(B67),1,IF(VLOOKUP(B67,'Machinery Input Tables'!$B$6:$AF$121,13,FALSE)='Machinery Input Tables'!$N$128,VLOOKUP(B67,'Machinery Input Tables'!$B$6:$AF$121,17,FALSE),VLOOKUP(B67,'Machinery Input Tables'!$B$6:$AF$121,28,FALSE))))*D67,"-")</f>
        <v>5.7499999999999996E-2</v>
      </c>
      <c r="G67" s="132">
        <f>IFERROR(IF(ISBLANK(C67),"",E67*'Machinery Input Tables'!$BP$10+F67*'Machinery Input Tables'!$BP$6+(VLOOKUP(C67,'Machinery Input Tables'!$AH$6:$BA$32,18,FALSE)*IF(IFERROR(VLOOKUP(B67,'Machinery Input Tables'!$B$6:$AF$121,13,FALSE)='Machinery Input Tables'!$N$128,1),1,VLOOKUP(B67,'Machinery Input Tables'!$B$6:$AF$121,28,FALSE))+IFERROR(VLOOKUP(B67,'Machinery Input Tables'!$B$6:$AF$121,27,FALSE),0))*D67),"-")</f>
        <v>5.3801655065095373</v>
      </c>
      <c r="H67" s="132">
        <f>IFERROR((IFERROR(VLOOKUP(B67,'Machinery Input Tables'!$B$6:$AF$121,24,FALSE),0)+VLOOKUP(C67,'Machinery Input Tables'!$AH$6:$BA$32,20,FALSE))*IF(IFERROR(VLOOKUP(B67,'Machinery Input Tables'!$B$6:$AF$121,13,FALSE)='Machinery Input Tables'!$N$128,1),1,VLOOKUP(B67,'Machinery Input Tables'!$B$6:$AF$121,28,FALSE))*D67,"-")</f>
        <v>6.6402834680946832</v>
      </c>
      <c r="I67" s="132">
        <f t="shared" si="2"/>
        <v>12.020448974604221</v>
      </c>
    </row>
    <row r="68" spans="2:9">
      <c r="B68" s="129" t="s">
        <v>729</v>
      </c>
      <c r="C68" s="129" t="s">
        <v>849</v>
      </c>
      <c r="D68" s="130">
        <v>0.16</v>
      </c>
      <c r="E68" s="131">
        <f>IFERROR(IF(ISBLANK(C68),"",IF(OR(ISBLANK(B68),IFERROR(VLOOKUP(B68,'Machinery Input Tables'!$B$6:$AF$121,13,FALSE),"")='Machinery Input Tables'!$N$128),1,VLOOKUP(B68,'Machinery Input Tables'!$B$6:$AF$121,28,FALSE))*VLOOKUP(C68,'Machinery Input Tables'!$AH$6:$BA$32,19,FALSE))*D68,"-")</f>
        <v>1.1400000000000001</v>
      </c>
      <c r="F68" s="131">
        <f>IFERROR(IF(AND(ISBLANK(B68)*ISBLANK(C68)),"",IF(ISBLANK(B68),1,IF(VLOOKUP(B68,'Machinery Input Tables'!$B$6:$AF$121,13,FALSE)='Machinery Input Tables'!$N$128,VLOOKUP(B68,'Machinery Input Tables'!$B$6:$AF$121,17,FALSE),VLOOKUP(B68,'Machinery Input Tables'!$B$6:$AF$121,28,FALSE))))*D68,"-")</f>
        <v>0.17600000000000002</v>
      </c>
      <c r="G68" s="132">
        <f>IFERROR(IF(ISBLANK(C68),"",E68*'Machinery Input Tables'!$BP$10+F68*'Machinery Input Tables'!$BP$6+(VLOOKUP(C68,'Machinery Input Tables'!$AH$6:$BA$32,18,FALSE)*IF(IFERROR(VLOOKUP(B68,'Machinery Input Tables'!$B$6:$AF$121,13,FALSE)='Machinery Input Tables'!$N$128,1),1,VLOOKUP(B68,'Machinery Input Tables'!$B$6:$AF$121,28,FALSE))+IFERROR(VLOOKUP(B68,'Machinery Input Tables'!$B$6:$AF$121,27,FALSE),0))*D68),"-")</f>
        <v>11.66075895953162</v>
      </c>
      <c r="H68" s="132">
        <f>IFERROR((IFERROR(VLOOKUP(B68,'Machinery Input Tables'!$B$6:$AF$121,24,FALSE),0)+VLOOKUP(C68,'Machinery Input Tables'!$AH$6:$BA$32,20,FALSE))*IF(IFERROR(VLOOKUP(B68,'Machinery Input Tables'!$B$6:$AF$121,13,FALSE)='Machinery Input Tables'!$N$128,1),1,VLOOKUP(B68,'Machinery Input Tables'!$B$6:$AF$121,28,FALSE))*D68,"-")</f>
        <v>6.045992823608505</v>
      </c>
      <c r="I68" s="132">
        <f t="shared" si="2"/>
        <v>17.706751783140124</v>
      </c>
    </row>
    <row r="69" spans="2:9">
      <c r="B69" s="129" t="s">
        <v>904</v>
      </c>
      <c r="C69" s="129" t="s">
        <v>804</v>
      </c>
      <c r="D69" s="130">
        <v>0.03</v>
      </c>
      <c r="E69" s="131">
        <f>IFERROR(IF(ISBLANK(C69),"",IF(OR(ISBLANK(B69),IFERROR(VLOOKUP(B69,'Machinery Input Tables'!$B$6:$AF$121,13,FALSE),"")='Machinery Input Tables'!$N$128),1,VLOOKUP(B69,'Machinery Input Tables'!$B$6:$AF$121,28,FALSE))*VLOOKUP(C69,'Machinery Input Tables'!$AH$6:$BA$32,19,FALSE))*D69,"-")</f>
        <v>0.17159999999999997</v>
      </c>
      <c r="F69" s="131">
        <f>IFERROR(IF(AND(ISBLANK(B69)*ISBLANK(C69)),"",IF(ISBLANK(B69),1,IF(VLOOKUP(B69,'Machinery Input Tables'!$B$6:$AF$121,13,FALSE)='Machinery Input Tables'!$N$128,VLOOKUP(B69,'Machinery Input Tables'!$B$6:$AF$121,17,FALSE),VLOOKUP(B69,'Machinery Input Tables'!$B$6:$AF$121,28,FALSE))))*D69,"-")</f>
        <v>3.15E-2</v>
      </c>
      <c r="G69" s="132">
        <f>IFERROR(IF(ISBLANK(C69),"",E69*'Machinery Input Tables'!$BP$10+F69*'Machinery Input Tables'!$BP$6+(VLOOKUP(C69,'Machinery Input Tables'!$AH$6:$BA$32,18,FALSE)*IF(IFERROR(VLOOKUP(B69,'Machinery Input Tables'!$B$6:$AF$121,13,FALSE)='Machinery Input Tables'!$N$128,1),1,VLOOKUP(B69,'Machinery Input Tables'!$B$6:$AF$121,28,FALSE))+IFERROR(VLOOKUP(B69,'Machinery Input Tables'!$B$6:$AF$121,27,FALSE),0))*D69),"-")</f>
        <v>1.7119003913284185</v>
      </c>
      <c r="H69" s="132">
        <f>IFERROR((IFERROR(VLOOKUP(B69,'Machinery Input Tables'!$B$6:$AF$121,24,FALSE),0)+VLOOKUP(C69,'Machinery Input Tables'!$AH$6:$BA$32,20,FALSE))*IF(IFERROR(VLOOKUP(B69,'Machinery Input Tables'!$B$6:$AF$121,13,FALSE)='Machinery Input Tables'!$N$128,1),1,VLOOKUP(B69,'Machinery Input Tables'!$B$6:$AF$121,28,FALSE))*D69,"-")</f>
        <v>1.3218188814446339</v>
      </c>
      <c r="I69" s="132">
        <f t="shared" si="2"/>
        <v>3.0337192727730526</v>
      </c>
    </row>
    <row r="70" spans="2:9">
      <c r="B70" s="129"/>
      <c r="C70" s="129" t="s">
        <v>695</v>
      </c>
      <c r="D70" s="130">
        <v>0.25</v>
      </c>
      <c r="E70" s="131">
        <f>IFERROR(IF(ISBLANK(C70),"",IF(OR(ISBLANK(B70),IFERROR(VLOOKUP(B70,'Machinery Input Tables'!$B$6:$AF$121,13,FALSE),"")='Machinery Input Tables'!$N$128),1,VLOOKUP(B70,'Machinery Input Tables'!$B$6:$AF$121,28,FALSE))*VLOOKUP(C70,'Machinery Input Tables'!$AH$6:$BA$32,19,FALSE))*D70,"-")</f>
        <v>0.75</v>
      </c>
      <c r="F70" s="131">
        <f>IFERROR(IF(AND(ISBLANK(B70)*ISBLANK(C70)),"",IF(ISBLANK(B70),1,IF(VLOOKUP(B70,'Machinery Input Tables'!$B$6:$AF$121,13,FALSE)='Machinery Input Tables'!$N$128,VLOOKUP(B70,'Machinery Input Tables'!$B$6:$AF$121,17,FALSE),VLOOKUP(B70,'Machinery Input Tables'!$B$6:$AF$121,28,FALSE))))*D70,"-")</f>
        <v>0.25</v>
      </c>
      <c r="G70" s="132">
        <f>IFERROR(IF(ISBLANK(C70),"",E70*'Machinery Input Tables'!$BP$10+F70*'Machinery Input Tables'!$BP$6+(VLOOKUP(C70,'Machinery Input Tables'!$AH$6:$BA$32,18,FALSE)*IF(IFERROR(VLOOKUP(B70,'Machinery Input Tables'!$B$6:$AF$121,13,FALSE)='Machinery Input Tables'!$N$128,1),1,VLOOKUP(B70,'Machinery Input Tables'!$B$6:$AF$121,28,FALSE))+IFERROR(VLOOKUP(B70,'Machinery Input Tables'!$B$6:$AF$121,27,FALSE),0))*D70),"-")</f>
        <v>12.05</v>
      </c>
      <c r="H70" s="132">
        <f>IFERROR((IFERROR(VLOOKUP(B70,'Machinery Input Tables'!$B$6:$AF$121,24,FALSE),0)+VLOOKUP(C70,'Machinery Input Tables'!$AH$6:$BA$32,20,FALSE))*IF(IFERROR(VLOOKUP(B70,'Machinery Input Tables'!$B$6:$AF$121,13,FALSE)='Machinery Input Tables'!$N$128,1),1,VLOOKUP(B70,'Machinery Input Tables'!$B$6:$AF$121,28,FALSE))*D70,"-")</f>
        <v>4.9630979032408344</v>
      </c>
      <c r="I70" s="132">
        <f t="shared" si="2"/>
        <v>17.013097903240833</v>
      </c>
    </row>
    <row r="71" spans="2:9">
      <c r="B71" s="129"/>
      <c r="C71" s="129"/>
      <c r="D71" s="130"/>
      <c r="E71" s="131" t="str">
        <f>IFERROR(IF(ISBLANK(C71),"",IF(OR(ISBLANK(B71),IFERROR(VLOOKUP(B71,'Machinery Input Tables'!$B$6:$AF$121,13,FALSE),"")='Machinery Input Tables'!$N$128),1,VLOOKUP(B71,'Machinery Input Tables'!$B$6:$AF$121,28,FALSE))*VLOOKUP(C71,'Machinery Input Tables'!$AH$6:$BA$32,19,FALSE))*D71,"-")</f>
        <v>-</v>
      </c>
      <c r="F71" s="131" t="str">
        <f>IFERROR(IF(AND(ISBLANK(B71)*ISBLANK(C71)),"",IF(ISBLANK(B71),1,IF(VLOOKUP(B71,'Machinery Input Tables'!$B$6:$AF$121,13,FALSE)='Machinery Input Tables'!$N$128,VLOOKUP(B71,'Machinery Input Tables'!$B$6:$AF$121,17,FALSE),VLOOKUP(B71,'Machinery Input Tables'!$B$6:$AF$121,28,FALSE))))*D71,"-")</f>
        <v>-</v>
      </c>
      <c r="G71" s="132" t="str">
        <f>IFERROR(IF(ISBLANK(C71),"",E71*'Machinery Input Tables'!$BP$10+F71*'Machinery Input Tables'!$BP$6+(VLOOKUP(C71,'Machinery Input Tables'!$AH$6:$BA$32,18,FALSE)*IF(IFERROR(VLOOKUP(B71,'Machinery Input Tables'!$B$6:$AF$121,13,FALSE)='Machinery Input Tables'!$N$128,1),1,VLOOKUP(B71,'Machinery Input Tables'!$B$6:$AF$121,28,FALSE))+IFERROR(VLOOKUP(B71,'Machinery Input Tables'!$B$6:$AF$121,27,FALSE),0))*D71),"-")</f>
        <v/>
      </c>
      <c r="H71" s="132" t="str">
        <f>IFERROR((IFERROR(VLOOKUP(B71,'Machinery Input Tables'!$B$6:$AF$121,24,FALSE),0)+VLOOKUP(C71,'Machinery Input Tables'!$AH$6:$BA$32,20,FALSE))*IF(IFERROR(VLOOKUP(B71,'Machinery Input Tables'!$B$6:$AF$121,13,FALSE)='Machinery Input Tables'!$N$128,1),1,VLOOKUP(B71,'Machinery Input Tables'!$B$6:$AF$121,28,FALSE))*D71,"-")</f>
        <v>-</v>
      </c>
      <c r="I71" s="132">
        <f t="shared" si="2"/>
        <v>0</v>
      </c>
    </row>
    <row r="72" spans="2:9">
      <c r="B72" s="133"/>
      <c r="C72" s="133"/>
      <c r="D72" s="134"/>
      <c r="E72" s="135" t="str">
        <f>IFERROR(IF(ISBLANK(C72),"",IF(OR(ISBLANK(B72),IFERROR(VLOOKUP(B72,'Machinery Input Tables'!$B$6:$AF$121,13,FALSE),"")='Machinery Input Tables'!$N$128),1,VLOOKUP(B72,'Machinery Input Tables'!$B$6:$AF$121,28,FALSE))*VLOOKUP(C72,'Machinery Input Tables'!$AH$6:$BA$32,19,FALSE))*D72,"-")</f>
        <v>-</v>
      </c>
      <c r="F72" s="135" t="str">
        <f>IFERROR(IF(AND(ISBLANK(B72)*ISBLANK(C72)),"",IF(ISBLANK(B72),1,IF(VLOOKUP(B72,'Machinery Input Tables'!$B$6:$AF$121,13,FALSE)='Machinery Input Tables'!$N$128,VLOOKUP(B72,'Machinery Input Tables'!$B$6:$AF$121,17,FALSE),VLOOKUP(B72,'Machinery Input Tables'!$B$6:$AF$121,28,FALSE))))*D72,"-")</f>
        <v>-</v>
      </c>
      <c r="G72" s="136" t="str">
        <f>IFERROR(IF(ISBLANK(C72),"",E72*'Machinery Input Tables'!$BP$10+F72*'Machinery Input Tables'!$BP$6+(VLOOKUP(C72,'Machinery Input Tables'!$AH$6:$BA$32,18,FALSE)*IF(IFERROR(VLOOKUP(B72,'Machinery Input Tables'!$B$6:$AF$121,13,FALSE)='Machinery Input Tables'!$N$128,1),1,VLOOKUP(B72,'Machinery Input Tables'!$B$6:$AF$121,28,FALSE))+IFERROR(VLOOKUP(B72,'Machinery Input Tables'!$B$6:$AF$121,27,FALSE),0))*D72),"-")</f>
        <v/>
      </c>
      <c r="H72" s="136" t="str">
        <f>IFERROR((IFERROR(VLOOKUP(B72,'Machinery Input Tables'!$B$6:$AF$121,24,FALSE),0)+VLOOKUP(C72,'Machinery Input Tables'!$AH$6:$BA$32,20,FALSE))*IF(IFERROR(VLOOKUP(B72,'Machinery Input Tables'!$B$6:$AF$121,13,FALSE)='Machinery Input Tables'!$N$128,1),1,VLOOKUP(B72,'Machinery Input Tables'!$B$6:$AF$121,28,FALSE))*D72,"-")</f>
        <v>-</v>
      </c>
      <c r="I72" s="136">
        <f t="shared" si="2"/>
        <v>0</v>
      </c>
    </row>
    <row r="73" spans="2:9">
      <c r="B73" s="126"/>
      <c r="C73" s="137" t="s">
        <v>19</v>
      </c>
      <c r="D73" s="138"/>
      <c r="E73" s="139">
        <f>SUM(E62:E72)</f>
        <v>7.7458802197802203</v>
      </c>
      <c r="F73" s="139">
        <f t="shared" ref="F73:I73" si="3">SUM(F62:F72)</f>
        <v>0.78121700603318245</v>
      </c>
      <c r="G73" s="140">
        <f t="shared" si="3"/>
        <v>81.079670708863134</v>
      </c>
      <c r="H73" s="140">
        <f t="shared" si="3"/>
        <v>86.514956721924207</v>
      </c>
      <c r="I73" s="140">
        <f t="shared" si="3"/>
        <v>167.59462743078737</v>
      </c>
    </row>
    <row r="74" spans="2:9">
      <c r="B74" s="141" t="s">
        <v>874</v>
      </c>
      <c r="C74" s="72"/>
      <c r="D74" s="72"/>
      <c r="E74" s="72"/>
      <c r="F74" s="72"/>
      <c r="G74" s="72"/>
      <c r="H74" s="72"/>
    </row>
    <row r="75" spans="2:9">
      <c r="B75" s="141" t="s">
        <v>875</v>
      </c>
      <c r="C75" s="72"/>
      <c r="D75" s="72"/>
      <c r="E75" s="72"/>
      <c r="F75" s="72"/>
      <c r="G75" s="72"/>
      <c r="H75" s="72"/>
    </row>
    <row r="76" spans="2:9">
      <c r="B76" s="72"/>
      <c r="C76" s="72"/>
      <c r="D76" s="72"/>
      <c r="E76" s="72"/>
      <c r="F76" s="72"/>
      <c r="G76" s="72"/>
      <c r="H76" s="72"/>
    </row>
    <row r="77" spans="2:9" hidden="1">
      <c r="B77" s="72"/>
      <c r="C77" s="72"/>
      <c r="D77" s="72"/>
      <c r="E77" s="72"/>
      <c r="F77" s="72"/>
      <c r="G77" s="72"/>
      <c r="H77" s="72"/>
    </row>
    <row r="78" spans="2:9" hidden="1">
      <c r="H78" s="72"/>
    </row>
    <row r="79" spans="2:9" hidden="1">
      <c r="H79" s="72"/>
    </row>
    <row r="80" spans="2:9" hidden="1">
      <c r="H80" s="72"/>
    </row>
    <row r="81" spans="2:8" hidden="1">
      <c r="H81" s="72"/>
    </row>
    <row r="82" spans="2:8" hidden="1">
      <c r="H82" s="72"/>
    </row>
    <row r="83" spans="2:8" hidden="1">
      <c r="H83" s="72"/>
    </row>
    <row r="84" spans="2:8" hidden="1">
      <c r="H84" s="72"/>
    </row>
    <row r="85" spans="2:8" hidden="1">
      <c r="H85" s="72"/>
    </row>
    <row r="86" spans="2:8" hidden="1">
      <c r="H86" s="72"/>
    </row>
    <row r="87" spans="2:8" hidden="1">
      <c r="H87" s="72"/>
    </row>
    <row r="88" spans="2:8" hidden="1">
      <c r="B88" s="72"/>
      <c r="C88" s="72"/>
      <c r="D88" s="72"/>
      <c r="E88" s="74" t="s">
        <v>803</v>
      </c>
      <c r="F88" s="142">
        <f>F46</f>
        <v>98.777135756016463</v>
      </c>
      <c r="G88" s="72"/>
      <c r="H88" s="72"/>
    </row>
    <row r="89" spans="2:8" hidden="1">
      <c r="B89" s="72"/>
      <c r="C89" s="72"/>
      <c r="D89" s="72"/>
      <c r="E89" s="72"/>
      <c r="F89" s="72"/>
      <c r="G89" s="72"/>
      <c r="H89" s="72"/>
    </row>
    <row r="90" spans="2:8" hidden="1">
      <c r="H90" s="72"/>
    </row>
    <row r="91" spans="2:8" hidden="1">
      <c r="H91" s="72"/>
    </row>
    <row r="92" spans="2:8" hidden="1">
      <c r="H92" s="72"/>
    </row>
    <row r="93" spans="2:8" hidden="1">
      <c r="H93" s="72"/>
    </row>
    <row r="104" spans="8:8" hidden="1">
      <c r="H104" s="72"/>
    </row>
    <row r="105" spans="8:8" hidden="1">
      <c r="H105" s="72"/>
    </row>
    <row r="933" spans="2:3" hidden="1">
      <c r="B933" s="3" t="s">
        <v>41</v>
      </c>
    </row>
    <row r="934" spans="2:3" hidden="1">
      <c r="B934" s="3" t="s">
        <v>42</v>
      </c>
      <c r="C934" s="3">
        <v>5</v>
      </c>
    </row>
    <row r="935" spans="2:3" hidden="1">
      <c r="B935" s="3" t="s">
        <v>43</v>
      </c>
      <c r="C935" s="3">
        <v>1</v>
      </c>
    </row>
    <row r="936" spans="2:3" hidden="1">
      <c r="B936" s="3" t="s">
        <v>44</v>
      </c>
      <c r="C936" s="3">
        <v>1</v>
      </c>
    </row>
    <row r="937" spans="2:3" hidden="1">
      <c r="B937" s="3" t="s">
        <v>45</v>
      </c>
      <c r="C937" s="3">
        <v>2</v>
      </c>
    </row>
    <row r="938" spans="2:3" hidden="1">
      <c r="B938" s="3" t="s">
        <v>46</v>
      </c>
      <c r="C938" s="3">
        <v>1</v>
      </c>
    </row>
    <row r="939" spans="2:3" hidden="1">
      <c r="B939" s="3" t="s">
        <v>47</v>
      </c>
      <c r="C939" s="3">
        <v>0</v>
      </c>
    </row>
    <row r="940" spans="2:3" hidden="1">
      <c r="B940" s="3" t="s">
        <v>48</v>
      </c>
      <c r="C940" s="3">
        <v>0</v>
      </c>
    </row>
    <row r="941" spans="2:3" hidden="1">
      <c r="B941" s="3" t="s">
        <v>49</v>
      </c>
      <c r="C941" s="3">
        <v>0</v>
      </c>
    </row>
    <row r="942" spans="2:3" hidden="1">
      <c r="B942" s="3" t="s">
        <v>50</v>
      </c>
      <c r="C942" s="3">
        <v>0</v>
      </c>
    </row>
    <row r="943" spans="2:3" hidden="1">
      <c r="B943" s="3" t="s">
        <v>51</v>
      </c>
      <c r="C943" s="3">
        <v>0</v>
      </c>
    </row>
    <row r="944" spans="2:3" hidden="1">
      <c r="B944" s="3" t="s">
        <v>52</v>
      </c>
      <c r="C944" s="3">
        <v>0</v>
      </c>
    </row>
    <row r="945" spans="2:3" hidden="1">
      <c r="B945" s="3" t="s">
        <v>53</v>
      </c>
      <c r="C945" s="3" t="b">
        <v>1</v>
      </c>
    </row>
    <row r="946" spans="2:3" hidden="1">
      <c r="B946" s="3" t="s">
        <v>54</v>
      </c>
      <c r="C946" s="3">
        <v>0</v>
      </c>
    </row>
    <row r="947" spans="2:3" hidden="1">
      <c r="B947" s="3" t="s">
        <v>55</v>
      </c>
      <c r="C947" s="3" t="b">
        <v>1</v>
      </c>
    </row>
    <row r="948" spans="2:3" hidden="1">
      <c r="B948" s="3" t="s">
        <v>56</v>
      </c>
      <c r="C948" s="3">
        <v>0</v>
      </c>
    </row>
    <row r="949" spans="2:3" hidden="1">
      <c r="B949" s="3" t="s">
        <v>57</v>
      </c>
      <c r="C949" s="3">
        <v>0</v>
      </c>
    </row>
    <row r="950" spans="2:3" hidden="1">
      <c r="B950" s="3" t="s">
        <v>58</v>
      </c>
      <c r="C950" s="3" t="b">
        <v>1</v>
      </c>
    </row>
    <row r="951" spans="2:3" hidden="1">
      <c r="B951" s="3" t="s">
        <v>59</v>
      </c>
      <c r="C951" s="3">
        <v>0</v>
      </c>
    </row>
    <row r="952" spans="2:3" hidden="1">
      <c r="B952" s="3" t="s">
        <v>60</v>
      </c>
      <c r="C952" s="3">
        <v>0</v>
      </c>
    </row>
    <row r="953" spans="2:3" hidden="1">
      <c r="B953" s="3" t="s">
        <v>61</v>
      </c>
      <c r="C953" s="3">
        <v>0</v>
      </c>
    </row>
    <row r="954" spans="2:3" hidden="1">
      <c r="B954" s="3" t="s">
        <v>62</v>
      </c>
      <c r="C954" s="3">
        <v>0</v>
      </c>
    </row>
    <row r="955" spans="2:3" hidden="1">
      <c r="B955" s="3" t="s">
        <v>63</v>
      </c>
      <c r="C955" s="3" t="s">
        <v>358</v>
      </c>
    </row>
    <row r="956" spans="2:3" hidden="1">
      <c r="B956" s="3" t="s">
        <v>64</v>
      </c>
      <c r="C956" s="3">
        <v>100</v>
      </c>
    </row>
    <row r="957" spans="2:3" hidden="1">
      <c r="B957" s="3" t="s">
        <v>65</v>
      </c>
      <c r="C957" s="3">
        <v>25</v>
      </c>
    </row>
    <row r="958" spans="2:3" hidden="1">
      <c r="B958" s="3" t="s">
        <v>66</v>
      </c>
      <c r="C958" s="3">
        <v>9</v>
      </c>
    </row>
    <row r="959" spans="2:3" hidden="1">
      <c r="B959" s="3" t="s">
        <v>67</v>
      </c>
      <c r="C959" s="3">
        <v>0</v>
      </c>
    </row>
    <row r="960" spans="2:3" hidden="1">
      <c r="B960" s="3" t="s">
        <v>68</v>
      </c>
      <c r="C960" s="3">
        <v>0</v>
      </c>
    </row>
    <row r="961" spans="2:3" hidden="1">
      <c r="B961" s="3" t="s">
        <v>69</v>
      </c>
      <c r="C961" s="3">
        <v>0</v>
      </c>
    </row>
    <row r="962" spans="2:3" hidden="1">
      <c r="B962" s="3" t="s">
        <v>70</v>
      </c>
      <c r="C962" s="3">
        <v>0</v>
      </c>
    </row>
    <row r="963" spans="2:3" hidden="1">
      <c r="B963" s="3" t="s">
        <v>71</v>
      </c>
      <c r="C963" s="3">
        <v>0</v>
      </c>
    </row>
    <row r="964" spans="2:3" hidden="1">
      <c r="B964" s="3" t="s">
        <v>72</v>
      </c>
      <c r="C964" s="3">
        <v>60</v>
      </c>
    </row>
    <row r="965" spans="2:3" hidden="1">
      <c r="B965" s="3" t="s">
        <v>73</v>
      </c>
      <c r="C965" s="3">
        <v>0</v>
      </c>
    </row>
    <row r="966" spans="2:3" hidden="1">
      <c r="B966" s="3" t="s">
        <v>74</v>
      </c>
      <c r="C966" s="3">
        <v>0</v>
      </c>
    </row>
    <row r="967" spans="2:3" hidden="1">
      <c r="B967" s="3" t="s">
        <v>75</v>
      </c>
      <c r="C967" s="3">
        <v>0</v>
      </c>
    </row>
    <row r="968" spans="2:3" hidden="1">
      <c r="B968" s="3" t="s">
        <v>76</v>
      </c>
      <c r="C968" s="3">
        <v>0</v>
      </c>
    </row>
    <row r="969" spans="2:3" hidden="1">
      <c r="B969" s="3" t="s">
        <v>77</v>
      </c>
      <c r="C969" s="3">
        <v>0</v>
      </c>
    </row>
    <row r="970" spans="2:3" hidden="1">
      <c r="B970" s="3" t="s">
        <v>78</v>
      </c>
      <c r="C970" s="3">
        <v>200000</v>
      </c>
    </row>
    <row r="971" spans="2:3" hidden="1">
      <c r="B971" s="3" t="s">
        <v>79</v>
      </c>
      <c r="C971" s="3">
        <v>0</v>
      </c>
    </row>
    <row r="972" spans="2:3" hidden="1">
      <c r="B972" s="3" t="s">
        <v>80</v>
      </c>
      <c r="C972" s="3">
        <v>0</v>
      </c>
    </row>
    <row r="973" spans="2:3" hidden="1">
      <c r="B973" s="3" t="s">
        <v>81</v>
      </c>
      <c r="C973" s="3">
        <v>0</v>
      </c>
    </row>
    <row r="974" spans="2:3" hidden="1">
      <c r="B974" s="3" t="s">
        <v>82</v>
      </c>
      <c r="C974" s="3">
        <v>0</v>
      </c>
    </row>
    <row r="975" spans="2:3" hidden="1">
      <c r="B975" s="3" t="s">
        <v>83</v>
      </c>
      <c r="C975" s="3">
        <v>0</v>
      </c>
    </row>
    <row r="976" spans="2:3" hidden="1">
      <c r="B976" s="3" t="s">
        <v>84</v>
      </c>
      <c r="C976" s="3">
        <v>0</v>
      </c>
    </row>
    <row r="977" spans="2:3" hidden="1">
      <c r="B977" s="3" t="s">
        <v>85</v>
      </c>
      <c r="C977" s="3">
        <v>0</v>
      </c>
    </row>
    <row r="978" spans="2:3" hidden="1">
      <c r="B978" s="3" t="s">
        <v>86</v>
      </c>
      <c r="C978" s="3">
        <v>20</v>
      </c>
    </row>
    <row r="979" spans="2:3" hidden="1">
      <c r="B979" s="3" t="s">
        <v>87</v>
      </c>
      <c r="C979" s="3">
        <v>35</v>
      </c>
    </row>
    <row r="980" spans="2:3" hidden="1">
      <c r="B980" s="3" t="s">
        <v>88</v>
      </c>
      <c r="C980" s="3">
        <v>0</v>
      </c>
    </row>
    <row r="981" spans="2:3" hidden="1">
      <c r="B981" s="3" t="s">
        <v>89</v>
      </c>
      <c r="C981" s="3">
        <v>0</v>
      </c>
    </row>
    <row r="982" spans="2:3" hidden="1">
      <c r="B982" s="3" t="s">
        <v>90</v>
      </c>
      <c r="C982" s="3">
        <v>0</v>
      </c>
    </row>
    <row r="983" spans="2:3" hidden="1">
      <c r="B983" s="3" t="s">
        <v>91</v>
      </c>
      <c r="C983" s="3">
        <v>0</v>
      </c>
    </row>
    <row r="984" spans="2:3" hidden="1">
      <c r="B984" s="3" t="s">
        <v>92</v>
      </c>
      <c r="C984" s="3">
        <v>0</v>
      </c>
    </row>
    <row r="985" spans="2:3" hidden="1">
      <c r="B985" s="3" t="s">
        <v>93</v>
      </c>
      <c r="C985" s="3">
        <v>0</v>
      </c>
    </row>
    <row r="986" spans="2:3" hidden="1">
      <c r="B986" s="3" t="s">
        <v>94</v>
      </c>
      <c r="C986" s="3">
        <v>0.49</v>
      </c>
    </row>
    <row r="987" spans="2:3" hidden="1">
      <c r="B987" s="3" t="s">
        <v>95</v>
      </c>
      <c r="C987" s="3">
        <v>0.4</v>
      </c>
    </row>
    <row r="988" spans="2:3" hidden="1">
      <c r="B988" s="3" t="s">
        <v>96</v>
      </c>
      <c r="C988" s="3">
        <v>0</v>
      </c>
    </row>
    <row r="989" spans="2:3" hidden="1">
      <c r="B989" s="3" t="s">
        <v>97</v>
      </c>
      <c r="C989" s="3">
        <v>0</v>
      </c>
    </row>
    <row r="990" spans="2:3" hidden="1">
      <c r="B990" s="3" t="s">
        <v>98</v>
      </c>
      <c r="C990" s="3">
        <v>0</v>
      </c>
    </row>
    <row r="991" spans="2:3" hidden="1">
      <c r="B991" s="3" t="s">
        <v>99</v>
      </c>
      <c r="C991" s="3">
        <v>0</v>
      </c>
    </row>
    <row r="992" spans="2:3" hidden="1">
      <c r="B992" s="3" t="s">
        <v>100</v>
      </c>
      <c r="C992" s="3">
        <v>0</v>
      </c>
    </row>
    <row r="993" spans="2:3" hidden="1">
      <c r="B993" s="3" t="s">
        <v>101</v>
      </c>
      <c r="C993" s="3">
        <v>0</v>
      </c>
    </row>
    <row r="994" spans="2:3" hidden="1">
      <c r="B994" s="3" t="s">
        <v>102</v>
      </c>
      <c r="C994" s="3">
        <v>1</v>
      </c>
    </row>
    <row r="995" spans="2:3" hidden="1">
      <c r="B995" s="3" t="s">
        <v>103</v>
      </c>
      <c r="C995" s="3">
        <v>0</v>
      </c>
    </row>
    <row r="996" spans="2:3" hidden="1">
      <c r="B996" s="3" t="s">
        <v>104</v>
      </c>
      <c r="C996" s="3">
        <v>0</v>
      </c>
    </row>
    <row r="997" spans="2:3" hidden="1">
      <c r="B997" s="3" t="s">
        <v>105</v>
      </c>
      <c r="C997" s="3">
        <v>1</v>
      </c>
    </row>
    <row r="998" spans="2:3" hidden="1">
      <c r="B998" s="3" t="s">
        <v>106</v>
      </c>
      <c r="C998" s="3">
        <v>0</v>
      </c>
    </row>
    <row r="999" spans="2:3" hidden="1">
      <c r="B999" s="3" t="s">
        <v>107</v>
      </c>
      <c r="C999" s="3">
        <v>0</v>
      </c>
    </row>
    <row r="1000" spans="2:3" hidden="1">
      <c r="B1000" s="3" t="s">
        <v>108</v>
      </c>
      <c r="C1000" s="3">
        <v>0</v>
      </c>
    </row>
    <row r="1001" spans="2:3" hidden="1">
      <c r="B1001" s="3" t="s">
        <v>109</v>
      </c>
      <c r="C1001" s="3">
        <v>0</v>
      </c>
    </row>
    <row r="1002" spans="2:3" hidden="1">
      <c r="B1002" s="3" t="s">
        <v>110</v>
      </c>
      <c r="C1002" s="3">
        <v>8.75</v>
      </c>
    </row>
    <row r="1003" spans="2:3" hidden="1">
      <c r="B1003" s="3" t="s">
        <v>111</v>
      </c>
      <c r="C1003" s="3">
        <v>0</v>
      </c>
    </row>
    <row r="1004" spans="2:3" hidden="1">
      <c r="B1004" s="3" t="s">
        <v>112</v>
      </c>
      <c r="C1004" s="3">
        <v>0</v>
      </c>
    </row>
    <row r="1005" spans="2:3" hidden="1">
      <c r="B1005" s="3" t="s">
        <v>113</v>
      </c>
      <c r="C1005" s="3">
        <v>0</v>
      </c>
    </row>
    <row r="1006" spans="2:3" hidden="1">
      <c r="B1006" s="3" t="s">
        <v>114</v>
      </c>
      <c r="C1006" s="3">
        <v>0</v>
      </c>
    </row>
    <row r="1007" spans="2:3" hidden="1">
      <c r="B1007" s="3" t="s">
        <v>115</v>
      </c>
      <c r="C1007" s="3">
        <v>0</v>
      </c>
    </row>
    <row r="1008" spans="2:3" hidden="1">
      <c r="B1008" s="3" t="s">
        <v>116</v>
      </c>
      <c r="C1008" s="3">
        <v>0</v>
      </c>
    </row>
    <row r="1009" spans="2:3" hidden="1">
      <c r="B1009" s="3" t="s">
        <v>117</v>
      </c>
      <c r="C1009" s="3">
        <v>0</v>
      </c>
    </row>
    <row r="1010" spans="2:3" hidden="1">
      <c r="B1010" s="3" t="s">
        <v>118</v>
      </c>
      <c r="C1010" s="3">
        <v>0</v>
      </c>
    </row>
    <row r="1011" spans="2:3" hidden="1">
      <c r="B1011" s="3" t="s">
        <v>119</v>
      </c>
      <c r="C1011" s="3">
        <v>0</v>
      </c>
    </row>
    <row r="1012" spans="2:3" hidden="1">
      <c r="B1012" s="3" t="s">
        <v>120</v>
      </c>
      <c r="C1012" s="3">
        <v>0</v>
      </c>
    </row>
    <row r="1013" spans="2:3" hidden="1">
      <c r="B1013" s="3" t="s">
        <v>121</v>
      </c>
      <c r="C1013" s="3">
        <v>0</v>
      </c>
    </row>
    <row r="1014" spans="2:3" hidden="1">
      <c r="B1014" s="3" t="s">
        <v>122</v>
      </c>
      <c r="C1014" s="3">
        <v>0</v>
      </c>
    </row>
    <row r="1015" spans="2:3" hidden="1">
      <c r="B1015" s="3" t="s">
        <v>123</v>
      </c>
      <c r="C1015" s="3">
        <v>0</v>
      </c>
    </row>
    <row r="1016" spans="2:3" hidden="1">
      <c r="B1016" s="3" t="s">
        <v>124</v>
      </c>
      <c r="C1016" s="3">
        <v>0</v>
      </c>
    </row>
    <row r="1017" spans="2:3" hidden="1">
      <c r="B1017" s="3" t="s">
        <v>125</v>
      </c>
      <c r="C1017" s="3">
        <v>0.5</v>
      </c>
    </row>
    <row r="1018" spans="2:3" hidden="1">
      <c r="B1018" s="3" t="s">
        <v>126</v>
      </c>
      <c r="C1018" s="3">
        <v>13.5</v>
      </c>
    </row>
    <row r="1019" spans="2:3" hidden="1">
      <c r="B1019" s="3" t="s">
        <v>127</v>
      </c>
      <c r="C1019" s="3">
        <v>18</v>
      </c>
    </row>
    <row r="1020" spans="2:3" hidden="1">
      <c r="B1020" s="3" t="s">
        <v>128</v>
      </c>
      <c r="C1020" s="3">
        <v>0</v>
      </c>
    </row>
    <row r="1021" spans="2:3" hidden="1">
      <c r="B1021" s="3" t="s">
        <v>129</v>
      </c>
      <c r="C1021" s="3">
        <v>0</v>
      </c>
    </row>
    <row r="1022" spans="2:3" hidden="1">
      <c r="B1022" s="3" t="s">
        <v>130</v>
      </c>
      <c r="C1022" s="3">
        <v>0</v>
      </c>
    </row>
    <row r="1023" spans="2:3" hidden="1">
      <c r="B1023" s="3" t="s">
        <v>131</v>
      </c>
      <c r="C1023" s="3">
        <v>3600</v>
      </c>
    </row>
    <row r="1024" spans="2:3" hidden="1">
      <c r="B1024" s="3" t="s">
        <v>132</v>
      </c>
      <c r="C1024" s="3">
        <v>0</v>
      </c>
    </row>
    <row r="1025" spans="2:3" hidden="1">
      <c r="B1025" s="3" t="s">
        <v>133</v>
      </c>
      <c r="C1025" s="3">
        <v>0</v>
      </c>
    </row>
    <row r="1026" spans="2:3" hidden="1">
      <c r="B1026" s="3" t="s">
        <v>134</v>
      </c>
      <c r="C1026" s="3">
        <v>0</v>
      </c>
    </row>
    <row r="1027" spans="2:3" hidden="1">
      <c r="B1027" s="3" t="s">
        <v>135</v>
      </c>
      <c r="C1027" s="3">
        <v>0</v>
      </c>
    </row>
    <row r="1028" spans="2:3" hidden="1">
      <c r="B1028" s="3" t="s">
        <v>136</v>
      </c>
      <c r="C1028" s="3">
        <v>6</v>
      </c>
    </row>
    <row r="1029" spans="2:3" hidden="1">
      <c r="B1029" s="3" t="s">
        <v>137</v>
      </c>
      <c r="C1029" s="3">
        <v>3.65</v>
      </c>
    </row>
    <row r="1030" spans="2:3" hidden="1">
      <c r="B1030" s="3" t="s">
        <v>138</v>
      </c>
      <c r="C1030" s="3">
        <v>3.38</v>
      </c>
    </row>
    <row r="1031" spans="2:3" hidden="1">
      <c r="B1031" s="3" t="s">
        <v>139</v>
      </c>
      <c r="C1031" s="3">
        <v>0</v>
      </c>
    </row>
    <row r="1032" spans="2:3" hidden="1">
      <c r="B1032" s="3" t="s">
        <v>140</v>
      </c>
      <c r="C1032" s="3">
        <v>0</v>
      </c>
    </row>
    <row r="1033" spans="2:3" hidden="1">
      <c r="B1033" s="3" t="s">
        <v>141</v>
      </c>
      <c r="C1033" s="3">
        <v>0</v>
      </c>
    </row>
    <row r="1034" spans="2:3" hidden="1">
      <c r="B1034" s="3" t="s">
        <v>142</v>
      </c>
      <c r="C1034" s="3">
        <v>0</v>
      </c>
    </row>
    <row r="1035" spans="2:3" hidden="1">
      <c r="B1035" s="3" t="s">
        <v>143</v>
      </c>
      <c r="C1035" s="3">
        <v>0</v>
      </c>
    </row>
    <row r="1036" spans="2:3" hidden="1">
      <c r="B1036" s="3" t="s">
        <v>144</v>
      </c>
      <c r="C1036" s="3">
        <v>0</v>
      </c>
    </row>
    <row r="1037" spans="2:3" hidden="1">
      <c r="B1037" s="3" t="s">
        <v>145</v>
      </c>
      <c r="C1037" s="3">
        <v>0</v>
      </c>
    </row>
    <row r="1038" spans="2:3" hidden="1">
      <c r="B1038" s="3" t="s">
        <v>146</v>
      </c>
      <c r="C1038" s="3">
        <v>0</v>
      </c>
    </row>
    <row r="1039" spans="2:3" hidden="1">
      <c r="B1039" s="3" t="s">
        <v>147</v>
      </c>
      <c r="C1039" s="3">
        <v>0</v>
      </c>
    </row>
    <row r="1040" spans="2:3" hidden="1">
      <c r="B1040" s="3" t="s">
        <v>148</v>
      </c>
      <c r="C1040" s="3">
        <v>5</v>
      </c>
    </row>
    <row r="1041" spans="2:3" hidden="1">
      <c r="B1041" s="3" t="s">
        <v>149</v>
      </c>
      <c r="C1041" s="3">
        <v>0</v>
      </c>
    </row>
    <row r="1042" spans="2:3" hidden="1">
      <c r="B1042" s="3" t="s">
        <v>150</v>
      </c>
      <c r="C1042" s="3">
        <v>0</v>
      </c>
    </row>
    <row r="1043" spans="2:3" hidden="1">
      <c r="B1043" s="3" t="s">
        <v>151</v>
      </c>
      <c r="C1043" s="3">
        <v>0</v>
      </c>
    </row>
    <row r="1044" spans="2:3" hidden="1">
      <c r="B1044" s="3" t="s">
        <v>152</v>
      </c>
      <c r="C1044" s="3">
        <v>6800</v>
      </c>
    </row>
    <row r="1045" spans="2:3" hidden="1">
      <c r="B1045" s="3" t="s">
        <v>153</v>
      </c>
      <c r="C1045" s="3">
        <v>0</v>
      </c>
    </row>
    <row r="1046" spans="2:3" hidden="1">
      <c r="B1046" s="3" t="s">
        <v>154</v>
      </c>
      <c r="C1046" s="3">
        <v>0</v>
      </c>
    </row>
    <row r="1047" spans="2:3" hidden="1">
      <c r="B1047" s="3" t="s">
        <v>155</v>
      </c>
      <c r="C1047" s="3">
        <v>8500</v>
      </c>
    </row>
    <row r="1048" spans="2:3" hidden="1">
      <c r="B1048" s="3" t="s">
        <v>156</v>
      </c>
      <c r="C1048" s="3">
        <v>0</v>
      </c>
    </row>
    <row r="1049" spans="2:3" hidden="1">
      <c r="B1049" s="3" t="s">
        <v>157</v>
      </c>
      <c r="C1049" s="3">
        <v>15000</v>
      </c>
    </row>
    <row r="1050" spans="2:3" hidden="1">
      <c r="B1050" s="3" t="s">
        <v>158</v>
      </c>
      <c r="C1050" s="3">
        <v>3</v>
      </c>
    </row>
    <row r="1051" spans="2:3" hidden="1">
      <c r="B1051" s="3" t="s">
        <v>159</v>
      </c>
      <c r="C1051" s="3">
        <v>0</v>
      </c>
    </row>
    <row r="1052" spans="2:3" hidden="1">
      <c r="B1052" s="3" t="s">
        <v>160</v>
      </c>
      <c r="C1052" s="3">
        <v>0</v>
      </c>
    </row>
    <row r="1053" spans="2:3" hidden="1">
      <c r="B1053" s="3" t="s">
        <v>161</v>
      </c>
      <c r="C1053" s="3">
        <v>0</v>
      </c>
    </row>
    <row r="1054" spans="2:3" hidden="1">
      <c r="B1054" s="3" t="s">
        <v>162</v>
      </c>
      <c r="C1054" s="3">
        <v>0</v>
      </c>
    </row>
    <row r="1055" spans="2:3" hidden="1">
      <c r="B1055" s="3" t="s">
        <v>163</v>
      </c>
      <c r="C1055" s="3">
        <v>0</v>
      </c>
    </row>
    <row r="1056" spans="2:3" hidden="1">
      <c r="B1056" s="3" t="s">
        <v>164</v>
      </c>
      <c r="C1056" s="3">
        <v>0</v>
      </c>
    </row>
    <row r="1057" spans="2:3" hidden="1">
      <c r="B1057" s="3" t="s">
        <v>165</v>
      </c>
      <c r="C1057" s="3">
        <v>0</v>
      </c>
    </row>
    <row r="1058" spans="2:3" hidden="1">
      <c r="B1058" s="3" t="s">
        <v>166</v>
      </c>
      <c r="C1058" s="3">
        <v>0</v>
      </c>
    </row>
    <row r="1059" spans="2:3" hidden="1">
      <c r="B1059" s="3" t="s">
        <v>167</v>
      </c>
      <c r="C1059" s="3">
        <v>0</v>
      </c>
    </row>
    <row r="1060" spans="2:3" hidden="1">
      <c r="B1060" s="3" t="s">
        <v>168</v>
      </c>
      <c r="C1060" s="3">
        <v>0</v>
      </c>
    </row>
    <row r="1061" spans="2:3" hidden="1">
      <c r="B1061" s="3" t="s">
        <v>169</v>
      </c>
      <c r="C1061" s="3">
        <v>0</v>
      </c>
    </row>
    <row r="1062" spans="2:3" hidden="1">
      <c r="B1062" s="3" t="s">
        <v>170</v>
      </c>
      <c r="C1062" s="3">
        <v>0</v>
      </c>
    </row>
    <row r="1063" spans="2:3" hidden="1">
      <c r="B1063" s="3" t="s">
        <v>171</v>
      </c>
      <c r="C1063" s="3">
        <v>0</v>
      </c>
    </row>
    <row r="1064" spans="2:3" hidden="1">
      <c r="B1064" s="3" t="s">
        <v>172</v>
      </c>
      <c r="C1064" s="3">
        <v>0</v>
      </c>
    </row>
    <row r="1065" spans="2:3" hidden="1">
      <c r="B1065" s="3" t="s">
        <v>173</v>
      </c>
      <c r="C1065" s="3">
        <v>0</v>
      </c>
    </row>
    <row r="1066" spans="2:3" hidden="1">
      <c r="B1066" s="3" t="s">
        <v>174</v>
      </c>
      <c r="C1066" s="3">
        <v>0</v>
      </c>
    </row>
    <row r="1067" spans="2:3" hidden="1">
      <c r="B1067" s="3" t="s">
        <v>175</v>
      </c>
      <c r="C1067" s="3">
        <v>0</v>
      </c>
    </row>
    <row r="1068" spans="2:3" hidden="1">
      <c r="B1068" s="3" t="s">
        <v>176</v>
      </c>
      <c r="C1068" s="3">
        <v>0</v>
      </c>
    </row>
    <row r="1069" spans="2:3" hidden="1">
      <c r="B1069" s="3" t="s">
        <v>177</v>
      </c>
      <c r="C1069" s="3">
        <v>0</v>
      </c>
    </row>
    <row r="1070" spans="2:3" hidden="1">
      <c r="B1070" s="3" t="s">
        <v>178</v>
      </c>
      <c r="C1070" s="3">
        <v>0</v>
      </c>
    </row>
    <row r="1071" spans="2:3" hidden="1">
      <c r="B1071" s="3" t="s">
        <v>179</v>
      </c>
      <c r="C1071" s="3">
        <v>0</v>
      </c>
    </row>
    <row r="1072" spans="2:3" hidden="1">
      <c r="B1072" s="3" t="s">
        <v>180</v>
      </c>
      <c r="C1072" s="3">
        <v>0</v>
      </c>
    </row>
    <row r="1073" spans="2:3" hidden="1">
      <c r="B1073" s="3" t="s">
        <v>181</v>
      </c>
      <c r="C1073" s="3">
        <v>0</v>
      </c>
    </row>
    <row r="1074" spans="2:3" hidden="1">
      <c r="B1074" s="3" t="s">
        <v>182</v>
      </c>
      <c r="C1074" s="3">
        <v>0</v>
      </c>
    </row>
    <row r="1075" spans="2:3" hidden="1">
      <c r="B1075" s="3" t="s">
        <v>183</v>
      </c>
      <c r="C1075" s="3">
        <v>0</v>
      </c>
    </row>
    <row r="1076" spans="2:3" hidden="1">
      <c r="B1076" s="3" t="s">
        <v>184</v>
      </c>
      <c r="C1076" s="3">
        <v>0</v>
      </c>
    </row>
    <row r="1077" spans="2:3" hidden="1">
      <c r="B1077" s="3" t="s">
        <v>185</v>
      </c>
      <c r="C1077" s="3">
        <v>0</v>
      </c>
    </row>
    <row r="1078" spans="2:3" hidden="1">
      <c r="B1078" s="3" t="s">
        <v>186</v>
      </c>
      <c r="C1078" s="3">
        <v>0</v>
      </c>
    </row>
    <row r="1079" spans="2:3" hidden="1">
      <c r="B1079" s="3" t="s">
        <v>187</v>
      </c>
      <c r="C1079" s="3">
        <v>0</v>
      </c>
    </row>
    <row r="1080" spans="2:3" hidden="1">
      <c r="B1080" s="3" t="s">
        <v>188</v>
      </c>
      <c r="C1080" s="3">
        <v>0</v>
      </c>
    </row>
    <row r="1081" spans="2:3" hidden="1">
      <c r="B1081" s="3" t="s">
        <v>189</v>
      </c>
      <c r="C1081" s="3">
        <v>0</v>
      </c>
    </row>
    <row r="1082" spans="2:3" hidden="1">
      <c r="B1082" s="3" t="s">
        <v>190</v>
      </c>
      <c r="C1082" s="3">
        <v>0</v>
      </c>
    </row>
    <row r="1083" spans="2:3" hidden="1">
      <c r="B1083" s="3" t="s">
        <v>191</v>
      </c>
      <c r="C1083" s="3" t="s">
        <v>192</v>
      </c>
    </row>
    <row r="1084" spans="2:3" hidden="1">
      <c r="B1084" s="3" t="s">
        <v>193</v>
      </c>
      <c r="C1084" s="3" t="s">
        <v>194</v>
      </c>
    </row>
    <row r="1085" spans="2:3" hidden="1">
      <c r="B1085" s="3" t="s">
        <v>195</v>
      </c>
      <c r="C1085" s="3" t="s">
        <v>196</v>
      </c>
    </row>
    <row r="1086" spans="2:3" hidden="1">
      <c r="B1086" s="3" t="s">
        <v>197</v>
      </c>
      <c r="C1086" s="3" t="s">
        <v>198</v>
      </c>
    </row>
    <row r="1087" spans="2:3" hidden="1">
      <c r="B1087" s="3" t="s">
        <v>199</v>
      </c>
      <c r="C1087" s="3" t="s">
        <v>200</v>
      </c>
    </row>
    <row r="1088" spans="2:3" hidden="1">
      <c r="B1088" s="3" t="s">
        <v>201</v>
      </c>
      <c r="C1088" s="3" t="s">
        <v>202</v>
      </c>
    </row>
    <row r="1089" spans="2:3" hidden="1">
      <c r="B1089" s="3" t="s">
        <v>203</v>
      </c>
      <c r="C1089" s="3" t="s">
        <v>204</v>
      </c>
    </row>
    <row r="1090" spans="2:3" hidden="1">
      <c r="B1090" s="3" t="s">
        <v>205</v>
      </c>
      <c r="C1090" s="3" t="s">
        <v>206</v>
      </c>
    </row>
    <row r="1091" spans="2:3" hidden="1">
      <c r="B1091" s="3" t="s">
        <v>207</v>
      </c>
      <c r="C1091" s="3" t="s">
        <v>208</v>
      </c>
    </row>
    <row r="1092" spans="2:3" hidden="1">
      <c r="B1092" s="3" t="s">
        <v>209</v>
      </c>
      <c r="C1092" s="3" t="s">
        <v>210</v>
      </c>
    </row>
    <row r="1093" spans="2:3" hidden="1">
      <c r="B1093" s="3" t="s">
        <v>211</v>
      </c>
      <c r="C1093" s="3" t="s">
        <v>212</v>
      </c>
    </row>
    <row r="1094" spans="2:3" hidden="1">
      <c r="B1094" s="3" t="s">
        <v>213</v>
      </c>
      <c r="C1094" s="3" t="s">
        <v>214</v>
      </c>
    </row>
    <row r="1095" spans="2:3" hidden="1">
      <c r="B1095" s="3" t="s">
        <v>215</v>
      </c>
      <c r="C1095" s="3" t="s">
        <v>212</v>
      </c>
    </row>
    <row r="1096" spans="2:3" hidden="1">
      <c r="B1096" s="3" t="s">
        <v>216</v>
      </c>
      <c r="C1096" s="3" t="s">
        <v>204</v>
      </c>
    </row>
    <row r="1097" spans="2:3" hidden="1">
      <c r="B1097" s="3" t="s">
        <v>217</v>
      </c>
      <c r="C1097" s="3" t="s">
        <v>192</v>
      </c>
    </row>
    <row r="1098" spans="2:3" hidden="1">
      <c r="B1098" s="3" t="s">
        <v>218</v>
      </c>
      <c r="C1098" s="3" t="s">
        <v>212</v>
      </c>
    </row>
    <row r="1099" spans="2:3" hidden="1">
      <c r="B1099" s="3" t="s">
        <v>219</v>
      </c>
      <c r="C1099" s="3" t="s">
        <v>212</v>
      </c>
    </row>
    <row r="1100" spans="2:3" hidden="1">
      <c r="B1100" s="3" t="s">
        <v>220</v>
      </c>
      <c r="C1100" s="3" t="s">
        <v>200</v>
      </c>
    </row>
    <row r="1101" spans="2:3" hidden="1">
      <c r="B1101" s="3" t="s">
        <v>221</v>
      </c>
      <c r="C1101" s="3" t="s">
        <v>222</v>
      </c>
    </row>
    <row r="1102" spans="2:3" hidden="1">
      <c r="B1102" s="3" t="s">
        <v>223</v>
      </c>
      <c r="C1102" s="3" t="s">
        <v>196</v>
      </c>
    </row>
    <row r="1103" spans="2:3" hidden="1">
      <c r="B1103" s="3" t="s">
        <v>224</v>
      </c>
      <c r="C1103" s="3" t="s">
        <v>222</v>
      </c>
    </row>
    <row r="1104" spans="2:3" hidden="1">
      <c r="B1104" s="3" t="s">
        <v>225</v>
      </c>
      <c r="C1104" s="3" t="s">
        <v>226</v>
      </c>
    </row>
    <row r="1105" spans="2:3" hidden="1">
      <c r="B1105" s="3" t="s">
        <v>227</v>
      </c>
      <c r="C1105" s="3" t="s">
        <v>228</v>
      </c>
    </row>
    <row r="1106" spans="2:3" hidden="1">
      <c r="B1106" s="3" t="s">
        <v>229</v>
      </c>
      <c r="C1106" s="3" t="s">
        <v>230</v>
      </c>
    </row>
    <row r="1107" spans="2:3" hidden="1">
      <c r="B1107" s="3" t="s">
        <v>231</v>
      </c>
      <c r="C1107" s="3" t="s">
        <v>192</v>
      </c>
    </row>
    <row r="1108" spans="2:3" hidden="1">
      <c r="B1108" s="3" t="s">
        <v>232</v>
      </c>
      <c r="C1108" s="3" t="s">
        <v>200</v>
      </c>
    </row>
    <row r="1109" spans="2:3" hidden="1">
      <c r="B1109" s="3" t="s">
        <v>233</v>
      </c>
      <c r="C1109" s="3" t="s">
        <v>234</v>
      </c>
    </row>
    <row r="1110" spans="2:3" hidden="1">
      <c r="B1110" s="3" t="s">
        <v>235</v>
      </c>
      <c r="C1110" s="3" t="s">
        <v>236</v>
      </c>
    </row>
    <row r="1111" spans="2:3" hidden="1">
      <c r="B1111" s="3" t="s">
        <v>237</v>
      </c>
      <c r="C1111" s="3">
        <v>0</v>
      </c>
    </row>
    <row r="1112" spans="2:3" hidden="1">
      <c r="B1112" s="3" t="s">
        <v>238</v>
      </c>
      <c r="C1112" s="3">
        <v>0</v>
      </c>
    </row>
    <row r="1113" spans="2:3" hidden="1">
      <c r="B1113" s="3" t="s">
        <v>239</v>
      </c>
      <c r="C1113" s="3">
        <v>0</v>
      </c>
    </row>
    <row r="1114" spans="2:3" hidden="1">
      <c r="B1114" s="3" t="s">
        <v>240</v>
      </c>
      <c r="C1114" s="3">
        <v>0</v>
      </c>
    </row>
    <row r="1115" spans="2:3" hidden="1">
      <c r="B1115" s="3" t="s">
        <v>242</v>
      </c>
      <c r="C1115" s="3">
        <v>0</v>
      </c>
    </row>
    <row r="1116" spans="2:3" hidden="1">
      <c r="B1116" s="3" t="s">
        <v>243</v>
      </c>
      <c r="C1116" s="3">
        <v>0</v>
      </c>
    </row>
    <row r="1117" spans="2:3" hidden="1">
      <c r="B1117" s="3" t="s">
        <v>244</v>
      </c>
      <c r="C1117" s="3">
        <v>0</v>
      </c>
    </row>
    <row r="1118" spans="2:3" hidden="1">
      <c r="B1118" s="3" t="s">
        <v>245</v>
      </c>
      <c r="C1118" s="3">
        <v>0</v>
      </c>
    </row>
    <row r="1119" spans="2:3" hidden="1">
      <c r="B1119" s="3" t="s">
        <v>246</v>
      </c>
      <c r="C1119" s="3">
        <v>0</v>
      </c>
    </row>
    <row r="1120" spans="2:3" hidden="1">
      <c r="B1120" s="3" t="s">
        <v>247</v>
      </c>
      <c r="C1120" s="3">
        <v>0</v>
      </c>
    </row>
    <row r="1121" spans="2:3" hidden="1">
      <c r="B1121" s="3" t="s">
        <v>248</v>
      </c>
      <c r="C1121" s="3">
        <v>0</v>
      </c>
    </row>
    <row r="1122" spans="2:3" hidden="1">
      <c r="B1122" s="3" t="s">
        <v>249</v>
      </c>
      <c r="C1122" s="3" t="s">
        <v>250</v>
      </c>
    </row>
    <row r="1123" spans="2:3" hidden="1">
      <c r="B1123" s="3" t="s">
        <v>251</v>
      </c>
      <c r="C1123" s="3">
        <v>0</v>
      </c>
    </row>
    <row r="1124" spans="2:3" hidden="1">
      <c r="B1124" s="3" t="s">
        <v>252</v>
      </c>
      <c r="C1124" s="3">
        <v>0</v>
      </c>
    </row>
    <row r="1125" spans="2:3" hidden="1">
      <c r="B1125" s="3" t="s">
        <v>253</v>
      </c>
      <c r="C1125" s="3">
        <v>0</v>
      </c>
    </row>
    <row r="1126" spans="2:3" hidden="1">
      <c r="B1126" s="3" t="s">
        <v>254</v>
      </c>
      <c r="C1126" s="3">
        <v>0</v>
      </c>
    </row>
    <row r="1127" spans="2:3" hidden="1">
      <c r="B1127" s="3" t="s">
        <v>255</v>
      </c>
      <c r="C1127" s="3">
        <v>0</v>
      </c>
    </row>
    <row r="1128" spans="2:3" hidden="1">
      <c r="B1128" s="3" t="s">
        <v>256</v>
      </c>
      <c r="C1128" s="3">
        <v>0</v>
      </c>
    </row>
    <row r="1129" spans="2:3" hidden="1">
      <c r="B1129" s="3" t="s">
        <v>257</v>
      </c>
      <c r="C1129" s="3">
        <v>0</v>
      </c>
    </row>
    <row r="1130" spans="2:3" hidden="1">
      <c r="B1130" s="3" t="s">
        <v>258</v>
      </c>
      <c r="C1130" s="3" t="s">
        <v>259</v>
      </c>
    </row>
    <row r="1131" spans="2:3" hidden="1">
      <c r="B1131" s="3" t="s">
        <v>260</v>
      </c>
      <c r="C1131" s="3">
        <v>0</v>
      </c>
    </row>
    <row r="1132" spans="2:3" hidden="1">
      <c r="B1132" s="3" t="s">
        <v>261</v>
      </c>
      <c r="C1132" s="3">
        <v>0</v>
      </c>
    </row>
    <row r="1133" spans="2:3" hidden="1">
      <c r="B1133" s="3" t="s">
        <v>262</v>
      </c>
      <c r="C1133" s="3">
        <v>0</v>
      </c>
    </row>
    <row r="1134" spans="2:3" hidden="1">
      <c r="B1134" s="3" t="s">
        <v>263</v>
      </c>
      <c r="C1134" s="3">
        <v>0</v>
      </c>
    </row>
    <row r="1135" spans="2:3" hidden="1">
      <c r="B1135" s="3" t="s">
        <v>264</v>
      </c>
      <c r="C1135" s="3">
        <v>0</v>
      </c>
    </row>
    <row r="1136" spans="2:3" hidden="1">
      <c r="B1136" s="3" t="s">
        <v>265</v>
      </c>
      <c r="C1136" s="3">
        <v>0</v>
      </c>
    </row>
    <row r="1137" spans="2:3" hidden="1">
      <c r="B1137" s="3" t="s">
        <v>266</v>
      </c>
      <c r="C1137" s="3">
        <v>0</v>
      </c>
    </row>
    <row r="1138" spans="2:3" hidden="1">
      <c r="B1138" s="3" t="s">
        <v>267</v>
      </c>
      <c r="C1138" s="3">
        <v>0</v>
      </c>
    </row>
    <row r="1139" spans="2:3" hidden="1">
      <c r="B1139" s="3" t="s">
        <v>268</v>
      </c>
      <c r="C1139" s="3">
        <v>0</v>
      </c>
    </row>
    <row r="1140" spans="2:3" hidden="1">
      <c r="B1140" s="3" t="s">
        <v>269</v>
      </c>
      <c r="C1140" s="3">
        <v>0</v>
      </c>
    </row>
    <row r="1141" spans="2:3" hidden="1">
      <c r="B1141" s="3" t="s">
        <v>270</v>
      </c>
      <c r="C1141" s="3">
        <v>0</v>
      </c>
    </row>
    <row r="1142" spans="2:3" hidden="1">
      <c r="B1142" s="3" t="s">
        <v>271</v>
      </c>
      <c r="C1142" s="3">
        <v>0</v>
      </c>
    </row>
    <row r="1143" spans="2:3" hidden="1">
      <c r="B1143" s="3" t="s">
        <v>272</v>
      </c>
      <c r="C1143" s="3">
        <v>0</v>
      </c>
    </row>
    <row r="1144" spans="2:3" hidden="1">
      <c r="B1144" s="3" t="s">
        <v>273</v>
      </c>
      <c r="C1144" s="3">
        <v>0</v>
      </c>
    </row>
    <row r="1145" spans="2:3" hidden="1">
      <c r="B1145" s="3" t="s">
        <v>274</v>
      </c>
      <c r="C1145" s="3">
        <v>0</v>
      </c>
    </row>
    <row r="1146" spans="2:3" hidden="1">
      <c r="B1146" s="3" t="s">
        <v>275</v>
      </c>
      <c r="C1146" s="3">
        <v>0</v>
      </c>
    </row>
    <row r="1147" spans="2:3" hidden="1">
      <c r="B1147" s="3" t="s">
        <v>276</v>
      </c>
      <c r="C1147" s="3">
        <v>0</v>
      </c>
    </row>
    <row r="1148" spans="2:3" hidden="1">
      <c r="B1148" s="3" t="s">
        <v>277</v>
      </c>
      <c r="C1148" s="3" t="s">
        <v>241</v>
      </c>
    </row>
    <row r="1149" spans="2:3" hidden="1">
      <c r="B1149" s="3" t="s">
        <v>278</v>
      </c>
      <c r="C1149" s="3">
        <v>0</v>
      </c>
    </row>
    <row r="1150" spans="2:3" hidden="1">
      <c r="B1150" s="3" t="s">
        <v>279</v>
      </c>
      <c r="C1150" s="3">
        <v>0</v>
      </c>
    </row>
    <row r="1151" spans="2:3" hidden="1">
      <c r="B1151" s="3" t="s">
        <v>280</v>
      </c>
      <c r="C1151" s="3">
        <v>0</v>
      </c>
    </row>
    <row r="1152" spans="2:3" hidden="1">
      <c r="B1152" s="3" t="s">
        <v>281</v>
      </c>
      <c r="C1152" s="3">
        <v>0</v>
      </c>
    </row>
    <row r="1153" spans="2:3" hidden="1">
      <c r="B1153" s="3" t="s">
        <v>282</v>
      </c>
      <c r="C1153" s="3">
        <v>0</v>
      </c>
    </row>
    <row r="1154" spans="2:3" hidden="1">
      <c r="B1154" s="3" t="s">
        <v>283</v>
      </c>
      <c r="C1154" s="3">
        <v>0</v>
      </c>
    </row>
    <row r="1155" spans="2:3" hidden="1">
      <c r="B1155" s="3" t="s">
        <v>284</v>
      </c>
      <c r="C1155" s="3">
        <v>0</v>
      </c>
    </row>
    <row r="1156" spans="2:3" hidden="1">
      <c r="B1156" s="3" t="s">
        <v>285</v>
      </c>
      <c r="C1156" s="3">
        <v>0</v>
      </c>
    </row>
    <row r="1157" spans="2:3" hidden="1">
      <c r="B1157" s="3" t="s">
        <v>286</v>
      </c>
      <c r="C1157" s="3">
        <v>0</v>
      </c>
    </row>
    <row r="1158" spans="2:3" hidden="1">
      <c r="B1158" s="3" t="s">
        <v>287</v>
      </c>
      <c r="C1158" s="3">
        <v>0</v>
      </c>
    </row>
    <row r="1159" spans="2:3" hidden="1">
      <c r="B1159" s="3" t="s">
        <v>288</v>
      </c>
      <c r="C1159" s="3">
        <v>0</v>
      </c>
    </row>
    <row r="1160" spans="2:3" hidden="1">
      <c r="B1160" s="3" t="s">
        <v>289</v>
      </c>
      <c r="C1160" s="3">
        <v>1</v>
      </c>
    </row>
    <row r="1161" spans="2:3" hidden="1">
      <c r="B1161" s="3" t="s">
        <v>290</v>
      </c>
      <c r="C1161" s="3">
        <v>0</v>
      </c>
    </row>
    <row r="1162" spans="2:3" hidden="1">
      <c r="B1162" s="3" t="s">
        <v>291</v>
      </c>
      <c r="C1162" s="3">
        <v>0</v>
      </c>
    </row>
    <row r="1163" spans="2:3" hidden="1">
      <c r="B1163" s="3" t="s">
        <v>292</v>
      </c>
      <c r="C1163" s="3">
        <v>0</v>
      </c>
    </row>
    <row r="1164" spans="2:3" hidden="1">
      <c r="B1164" s="3" t="s">
        <v>293</v>
      </c>
      <c r="C1164" s="3">
        <v>0</v>
      </c>
    </row>
    <row r="1165" spans="2:3" hidden="1">
      <c r="B1165" s="3" t="s">
        <v>294</v>
      </c>
      <c r="C1165" s="3">
        <v>0</v>
      </c>
    </row>
    <row r="1166" spans="2:3" hidden="1">
      <c r="B1166" s="3" t="s">
        <v>295</v>
      </c>
      <c r="C1166" s="3">
        <v>0</v>
      </c>
    </row>
    <row r="1167" spans="2:3" hidden="1">
      <c r="B1167" s="3" t="s">
        <v>296</v>
      </c>
      <c r="C1167" s="3">
        <v>0</v>
      </c>
    </row>
    <row r="1168" spans="2:3" hidden="1">
      <c r="B1168" s="3" t="s">
        <v>297</v>
      </c>
      <c r="C1168" s="3">
        <v>1</v>
      </c>
    </row>
    <row r="1169" spans="2:3" hidden="1">
      <c r="B1169" s="3" t="s">
        <v>298</v>
      </c>
      <c r="C1169" s="3">
        <v>0</v>
      </c>
    </row>
    <row r="1170" spans="2:3" hidden="1">
      <c r="B1170" s="3" t="s">
        <v>299</v>
      </c>
      <c r="C1170" s="3">
        <v>0</v>
      </c>
    </row>
    <row r="1171" spans="2:3" hidden="1">
      <c r="B1171" s="3" t="s">
        <v>300</v>
      </c>
      <c r="C1171" s="3">
        <v>0</v>
      </c>
    </row>
    <row r="1172" spans="2:3" hidden="1">
      <c r="B1172" s="3" t="s">
        <v>301</v>
      </c>
      <c r="C1172" s="3">
        <v>0</v>
      </c>
    </row>
    <row r="1173" spans="2:3" hidden="1">
      <c r="B1173" s="3" t="s">
        <v>302</v>
      </c>
      <c r="C1173" s="3">
        <v>0</v>
      </c>
    </row>
    <row r="1174" spans="2:3" hidden="1">
      <c r="B1174" s="3" t="s">
        <v>303</v>
      </c>
      <c r="C1174" s="3">
        <v>0</v>
      </c>
    </row>
    <row r="1175" spans="2:3" hidden="1">
      <c r="B1175" s="3" t="s">
        <v>304</v>
      </c>
      <c r="C1175" s="3">
        <v>0</v>
      </c>
    </row>
    <row r="1176" spans="2:3" hidden="1">
      <c r="B1176" s="3" t="s">
        <v>305</v>
      </c>
      <c r="C1176" s="3">
        <v>0</v>
      </c>
    </row>
    <row r="1177" spans="2:3" hidden="1">
      <c r="B1177" s="3" t="s">
        <v>306</v>
      </c>
      <c r="C1177" s="3">
        <v>0</v>
      </c>
    </row>
    <row r="1178" spans="2:3" hidden="1">
      <c r="B1178" s="3" t="s">
        <v>307</v>
      </c>
      <c r="C1178" s="3">
        <v>0</v>
      </c>
    </row>
    <row r="1179" spans="2:3" hidden="1">
      <c r="B1179" s="3" t="s">
        <v>308</v>
      </c>
      <c r="C1179" s="3">
        <v>0</v>
      </c>
    </row>
    <row r="1180" spans="2:3" hidden="1">
      <c r="B1180" s="3" t="s">
        <v>309</v>
      </c>
      <c r="C1180" s="3">
        <v>0</v>
      </c>
    </row>
    <row r="1181" spans="2:3" hidden="1">
      <c r="B1181" s="3" t="s">
        <v>310</v>
      </c>
      <c r="C1181" s="3">
        <v>0</v>
      </c>
    </row>
    <row r="1182" spans="2:3" hidden="1">
      <c r="B1182" s="3" t="s">
        <v>311</v>
      </c>
      <c r="C1182" s="3">
        <v>0</v>
      </c>
    </row>
    <row r="1183" spans="2:3" hidden="1">
      <c r="B1183" s="3" t="s">
        <v>312</v>
      </c>
      <c r="C1183" s="3">
        <v>0</v>
      </c>
    </row>
    <row r="1184" spans="2:3" hidden="1">
      <c r="B1184" s="3" t="s">
        <v>313</v>
      </c>
      <c r="C1184" s="3">
        <v>0</v>
      </c>
    </row>
    <row r="1185" spans="2:3" hidden="1">
      <c r="B1185" s="3" t="s">
        <v>314</v>
      </c>
      <c r="C1185" s="3">
        <v>0</v>
      </c>
    </row>
    <row r="1186" spans="2:3" hidden="1">
      <c r="B1186" s="3" t="s">
        <v>315</v>
      </c>
      <c r="C1186" s="3">
        <v>0</v>
      </c>
    </row>
    <row r="1187" spans="2:3" hidden="1">
      <c r="B1187" s="3" t="s">
        <v>316</v>
      </c>
      <c r="C1187" s="3">
        <v>1</v>
      </c>
    </row>
    <row r="1188" spans="2:3" hidden="1">
      <c r="B1188" s="3" t="s">
        <v>317</v>
      </c>
      <c r="C1188" s="3">
        <v>0</v>
      </c>
    </row>
    <row r="1189" spans="2:3" hidden="1">
      <c r="B1189" s="3" t="s">
        <v>318</v>
      </c>
      <c r="C1189" s="3">
        <v>0</v>
      </c>
    </row>
    <row r="1190" spans="2:3" hidden="1">
      <c r="B1190" s="3" t="s">
        <v>319</v>
      </c>
      <c r="C1190" s="3">
        <v>0</v>
      </c>
    </row>
    <row r="1191" spans="2:3" hidden="1">
      <c r="B1191" s="3" t="s">
        <v>320</v>
      </c>
      <c r="C1191" s="3">
        <v>0</v>
      </c>
    </row>
    <row r="1192" spans="2:3" hidden="1">
      <c r="B1192" s="3" t="s">
        <v>321</v>
      </c>
      <c r="C1192" s="3">
        <v>0</v>
      </c>
    </row>
    <row r="1193" spans="2:3" hidden="1">
      <c r="B1193" s="3" t="s">
        <v>322</v>
      </c>
      <c r="C1193" s="3">
        <v>0</v>
      </c>
    </row>
    <row r="1194" spans="2:3" hidden="1">
      <c r="B1194" s="3" t="s">
        <v>323</v>
      </c>
      <c r="C1194" s="3">
        <v>0</v>
      </c>
    </row>
    <row r="1195" spans="2:3" hidden="1">
      <c r="B1195" s="3" t="s">
        <v>324</v>
      </c>
      <c r="C1195" s="3">
        <v>0</v>
      </c>
    </row>
    <row r="1196" spans="2:3" hidden="1">
      <c r="B1196" s="3" t="s">
        <v>325</v>
      </c>
      <c r="C1196" s="3">
        <v>0</v>
      </c>
    </row>
    <row r="1197" spans="2:3" hidden="1">
      <c r="B1197" s="3" t="s">
        <v>326</v>
      </c>
      <c r="C1197" s="3">
        <v>0</v>
      </c>
    </row>
    <row r="1198" spans="2:3" hidden="1">
      <c r="B1198" s="3" t="s">
        <v>327</v>
      </c>
      <c r="C1198" s="3">
        <v>0</v>
      </c>
    </row>
    <row r="1199" spans="2:3" hidden="1">
      <c r="B1199" s="3" t="s">
        <v>328</v>
      </c>
      <c r="C1199" s="3">
        <v>0</v>
      </c>
    </row>
    <row r="1200" spans="2:3" hidden="1">
      <c r="B1200" s="3" t="s">
        <v>329</v>
      </c>
      <c r="C1200" s="3">
        <v>0</v>
      </c>
    </row>
    <row r="1201" spans="2:3" hidden="1">
      <c r="B1201" s="3" t="s">
        <v>330</v>
      </c>
      <c r="C1201" s="3">
        <v>0</v>
      </c>
    </row>
    <row r="1202" spans="2:3" hidden="1">
      <c r="B1202" s="3" t="s">
        <v>331</v>
      </c>
      <c r="C1202" s="3">
        <v>0</v>
      </c>
    </row>
    <row r="1203" spans="2:3" hidden="1">
      <c r="B1203" s="3" t="s">
        <v>332</v>
      </c>
      <c r="C1203" s="3">
        <v>0</v>
      </c>
    </row>
    <row r="1204" spans="2:3" hidden="1">
      <c r="B1204" s="3" t="s">
        <v>333</v>
      </c>
      <c r="C1204" s="3">
        <v>0</v>
      </c>
    </row>
    <row r="1205" spans="2:3" hidden="1">
      <c r="B1205" s="3" t="s">
        <v>334</v>
      </c>
      <c r="C1205" s="3">
        <v>0</v>
      </c>
    </row>
    <row r="1206" spans="2:3" hidden="1">
      <c r="B1206" s="3" t="s">
        <v>335</v>
      </c>
      <c r="C1206" s="3">
        <v>0</v>
      </c>
    </row>
    <row r="1207" spans="2:3" hidden="1">
      <c r="B1207" s="3" t="s">
        <v>336</v>
      </c>
      <c r="C1207" s="3">
        <v>0</v>
      </c>
    </row>
    <row r="1208" spans="2:3" hidden="1">
      <c r="B1208" s="3" t="s">
        <v>337</v>
      </c>
      <c r="C1208" s="3">
        <v>0</v>
      </c>
    </row>
    <row r="1209" spans="2:3" hidden="1">
      <c r="B1209" s="3" t="s">
        <v>338</v>
      </c>
      <c r="C1209" s="3">
        <v>0</v>
      </c>
    </row>
    <row r="1210" spans="2:3" hidden="1">
      <c r="B1210" s="3" t="s">
        <v>339</v>
      </c>
      <c r="C1210" s="3">
        <v>0</v>
      </c>
    </row>
    <row r="1211" spans="2:3" hidden="1">
      <c r="B1211" s="3" t="s">
        <v>340</v>
      </c>
      <c r="C1211" s="3">
        <v>0</v>
      </c>
    </row>
    <row r="1212" spans="2:3" hidden="1">
      <c r="B1212" s="3" t="s">
        <v>341</v>
      </c>
      <c r="C1212" s="3">
        <v>0</v>
      </c>
    </row>
    <row r="1213" spans="2:3" hidden="1">
      <c r="B1213" s="3" t="s">
        <v>342</v>
      </c>
      <c r="C1213" s="3">
        <v>0</v>
      </c>
    </row>
    <row r="1214" spans="2:3" hidden="1">
      <c r="B1214" s="3" t="s">
        <v>343</v>
      </c>
      <c r="C1214" s="3">
        <v>0</v>
      </c>
    </row>
    <row r="1215" spans="2:3" hidden="1">
      <c r="B1215" s="3" t="s">
        <v>344</v>
      </c>
      <c r="C1215" s="3">
        <v>0</v>
      </c>
    </row>
    <row r="1216" spans="2:3" hidden="1">
      <c r="B1216" s="3" t="s">
        <v>345</v>
      </c>
      <c r="C1216" s="3">
        <v>0</v>
      </c>
    </row>
    <row r="1217" spans="2:3" hidden="1">
      <c r="B1217" s="3" t="s">
        <v>346</v>
      </c>
      <c r="C1217" s="3">
        <v>0</v>
      </c>
    </row>
    <row r="1218" spans="2:3" hidden="1">
      <c r="B1218" s="3" t="s">
        <v>347</v>
      </c>
      <c r="C1218" s="3">
        <v>0</v>
      </c>
    </row>
    <row r="1219" spans="2:3" hidden="1">
      <c r="B1219" s="3" t="s">
        <v>348</v>
      </c>
      <c r="C1219" s="3">
        <v>0</v>
      </c>
    </row>
    <row r="1220" spans="2:3" hidden="1">
      <c r="B1220" s="3" t="s">
        <v>349</v>
      </c>
      <c r="C1220" s="3">
        <v>0</v>
      </c>
    </row>
    <row r="1221" spans="2:3" hidden="1">
      <c r="B1221" s="3" t="s">
        <v>350</v>
      </c>
      <c r="C1221" s="3">
        <v>0</v>
      </c>
    </row>
    <row r="1222" spans="2:3" hidden="1">
      <c r="B1222" s="3" t="s">
        <v>351</v>
      </c>
      <c r="C1222" s="3">
        <v>0</v>
      </c>
    </row>
    <row r="1223" spans="2:3" hidden="1">
      <c r="B1223" s="3" t="s">
        <v>352</v>
      </c>
      <c r="C1223" s="3">
        <v>0</v>
      </c>
    </row>
    <row r="1224" spans="2:3" hidden="1">
      <c r="B1224" s="3" t="s">
        <v>353</v>
      </c>
      <c r="C1224" s="3">
        <v>0</v>
      </c>
    </row>
    <row r="1225" spans="2:3" hidden="1">
      <c r="B1225" s="3" t="s">
        <v>354</v>
      </c>
      <c r="C1225" s="3">
        <v>0</v>
      </c>
    </row>
    <row r="1226" spans="2:3" hidden="1">
      <c r="B1226" s="3" t="s">
        <v>355</v>
      </c>
      <c r="C1226" s="3">
        <v>0</v>
      </c>
    </row>
    <row r="1227" spans="2:3" hidden="1">
      <c r="B1227" s="3" t="s">
        <v>356</v>
      </c>
      <c r="C1227" s="3">
        <v>0</v>
      </c>
    </row>
    <row r="1228" spans="2:3" hidden="1">
      <c r="B1228" s="3" t="s">
        <v>357</v>
      </c>
      <c r="C1228" s="3">
        <v>0</v>
      </c>
    </row>
  </sheetData>
  <sheetProtection sheet="1" objects="1" scenarios="1"/>
  <protectedRanges>
    <protectedRange sqref="D3 D5:E6 C6 F7:F8 D12:E12 D14:D16 F17 D18 D20:E22 D23 D24:E24 F25:F26 D31 F32 D37 F39 B53:B56 E53:F56 B62:D72" name="Grey cells"/>
  </protectedRanges>
  <mergeCells count="11">
    <mergeCell ref="B59:B60"/>
    <mergeCell ref="C59:C60"/>
    <mergeCell ref="E59:E60"/>
    <mergeCell ref="F59:F60"/>
    <mergeCell ref="I59:I60"/>
    <mergeCell ref="B2:F2"/>
    <mergeCell ref="I4:P4"/>
    <mergeCell ref="H5:H12"/>
    <mergeCell ref="B51:F51"/>
    <mergeCell ref="B58:I58"/>
    <mergeCell ref="K19:P19"/>
  </mergeCells>
  <conditionalFormatting sqref="B71:C71">
    <cfRule type="expression" dxfId="23" priority="9" stopIfTrue="1">
      <formula>MID($B71,1,4)="Rent"</formula>
    </cfRule>
  </conditionalFormatting>
  <conditionalFormatting sqref="C30:D31">
    <cfRule type="expression" dxfId="22" priority="5">
      <formula>#REF!="yes"</formula>
    </cfRule>
  </conditionalFormatting>
  <conditionalFormatting sqref="D4">
    <cfRule type="expression" dxfId="21" priority="8">
      <formula>$F$1="no"</formula>
    </cfRule>
  </conditionalFormatting>
  <conditionalFormatting sqref="D11">
    <cfRule type="expression" dxfId="20" priority="7">
      <formula>#REF!="no"</formula>
    </cfRule>
  </conditionalFormatting>
  <conditionalFormatting sqref="D32 C33:E33">
    <cfRule type="expression" dxfId="19" priority="10">
      <formula>#REF!="yes"</formula>
    </cfRule>
  </conditionalFormatting>
  <conditionalFormatting sqref="D12:E29">
    <cfRule type="expression" dxfId="18" priority="1">
      <formula>#REF!="yes"</formula>
    </cfRule>
  </conditionalFormatting>
  <dataValidations count="1">
    <dataValidation type="list" allowBlank="1" showInputMessage="1" showErrorMessage="1" sqref="F1" xr:uid="{F3B6F7BD-E0D2-4F5E-9FD4-FF06F4E961BA}">
      <formula1>"Yes, No"</formula1>
    </dataValidation>
  </dataValidations>
  <pageMargins left="0.7" right="0.7" top="0.75" bottom="0.75" header="0.3" footer="0.3"/>
  <pageSetup scale="67"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5E302FAC-2F23-4199-AF80-10FC31871181}">
          <x14:formula1>
            <xm:f>'Machinery Input Tables'!$C$133:$C$184</xm:f>
          </x14:formula1>
          <xm:sqref>B53:B56</xm:sqref>
        </x14:dataValidation>
        <x14:dataValidation type="list" allowBlank="1" showInputMessage="1" showErrorMessage="1" xr:uid="{F392D905-EE3D-4477-99A4-E2655749C0ED}">
          <x14:formula1>
            <xm:f>'Machinery Input Tables'!$B$6:$B$121</xm:f>
          </x14:formula1>
          <xm:sqref>B62:B72</xm:sqref>
        </x14:dataValidation>
        <x14:dataValidation type="list" allowBlank="1" showInputMessage="1" showErrorMessage="1" xr:uid="{70D084E4-E829-4F46-9C15-72429BE271C4}">
          <x14:formula1>
            <xm:f>'Machinery Input Tables'!$AH$6:$AH$32</xm:f>
          </x14:formula1>
          <xm:sqref>C62:C72</xm:sqref>
        </x14:dataValidation>
        <x14:dataValidation type="list" allowBlank="1" showInputMessage="1" showErrorMessage="1" xr:uid="{CE40A2BB-BA74-4E94-9FF6-F96FAB8676D0}">
          <x14:formula1>
            <xm:f>'Irrigation costs'!$D$2:$G$2</xm:f>
          </x14:formula1>
          <xm:sqref>D3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36CA0-A4CE-48DB-9F97-966BB5916068}">
  <sheetPr>
    <pageSetUpPr fitToPage="1"/>
  </sheetPr>
  <dimension ref="A1:Q1229"/>
  <sheetViews>
    <sheetView showGridLines="0" topLeftCell="A48" zoomScaleNormal="100" workbookViewId="0">
      <selection activeCell="F27" sqref="F27"/>
    </sheetView>
  </sheetViews>
  <sheetFormatPr defaultColWidth="0" defaultRowHeight="16.5" zeroHeight="1"/>
  <cols>
    <col min="1" max="1" width="3.125" style="3" customWidth="1"/>
    <col min="2" max="2" width="34.875" style="3" customWidth="1"/>
    <col min="3" max="3" width="20.25" style="3" customWidth="1"/>
    <col min="4" max="5" width="14" style="3" customWidth="1"/>
    <col min="6" max="6" width="12.625" style="3" customWidth="1"/>
    <col min="7" max="7" width="11.75" style="3" customWidth="1"/>
    <col min="8" max="9" width="9" style="3" customWidth="1"/>
    <col min="10" max="10" width="11.625" style="3" customWidth="1"/>
    <col min="11" max="11" width="10.625" style="3" customWidth="1"/>
    <col min="12" max="14" width="9" style="3" customWidth="1"/>
    <col min="15" max="15" width="9.5" style="3" bestFit="1" customWidth="1"/>
    <col min="16" max="16" width="9" style="3" customWidth="1"/>
    <col min="17" max="17" width="3.125" style="3" customWidth="1"/>
    <col min="18" max="16384" width="9" style="3" hidden="1"/>
  </cols>
  <sheetData>
    <row r="1" spans="2:16">
      <c r="F1" s="32"/>
    </row>
    <row r="2" spans="2:16" ht="20.25" customHeight="1">
      <c r="B2" s="299" t="s">
        <v>374</v>
      </c>
      <c r="C2" s="299"/>
      <c r="D2" s="299"/>
      <c r="E2" s="299"/>
      <c r="F2" s="299"/>
      <c r="G2" s="4"/>
    </row>
    <row r="3" spans="2:16" ht="17.25">
      <c r="B3" s="33" t="s">
        <v>687</v>
      </c>
      <c r="C3" s="34"/>
      <c r="D3" s="143" t="s">
        <v>689</v>
      </c>
      <c r="E3" s="34"/>
      <c r="F3" s="36"/>
      <c r="G3" s="37"/>
      <c r="H3" s="38"/>
      <c r="I3" s="39" t="s">
        <v>800</v>
      </c>
      <c r="J3" s="38"/>
      <c r="K3" s="38"/>
      <c r="L3" s="38"/>
      <c r="M3" s="38"/>
      <c r="N3" s="38"/>
      <c r="O3" s="38"/>
      <c r="P3" s="38"/>
    </row>
    <row r="4" spans="2:16" ht="17.25">
      <c r="B4" s="40" t="s">
        <v>370</v>
      </c>
      <c r="C4" s="40" t="s">
        <v>556</v>
      </c>
      <c r="D4" s="41" t="s">
        <v>25</v>
      </c>
      <c r="E4" s="41" t="s">
        <v>854</v>
      </c>
      <c r="F4" s="41" t="s">
        <v>855</v>
      </c>
      <c r="G4" s="37"/>
      <c r="H4" s="42"/>
      <c r="I4" s="300" t="s">
        <v>6</v>
      </c>
      <c r="J4" s="300"/>
      <c r="K4" s="300"/>
      <c r="L4" s="300"/>
      <c r="M4" s="300"/>
      <c r="N4" s="300"/>
      <c r="O4" s="300"/>
      <c r="P4" s="300"/>
    </row>
    <row r="5" spans="2:16" ht="16.5" customHeight="1">
      <c r="B5" s="43" t="s">
        <v>20</v>
      </c>
      <c r="C5" s="187" t="s">
        <v>21</v>
      </c>
      <c r="D5" s="44">
        <v>67</v>
      </c>
      <c r="E5" s="77">
        <v>5.58</v>
      </c>
      <c r="F5" s="46">
        <f>D5*E5</f>
        <v>373.86</v>
      </c>
      <c r="G5" s="47" t="s">
        <v>40</v>
      </c>
      <c r="H5" s="301" t="s">
        <v>799</v>
      </c>
      <c r="I5" s="48"/>
      <c r="J5" s="49">
        <f>0.7*$D$5</f>
        <v>46.9</v>
      </c>
      <c r="K5" s="49">
        <f>0.8*$D$5</f>
        <v>53.6</v>
      </c>
      <c r="L5" s="49">
        <f>0.9*$D$5</f>
        <v>60.300000000000004</v>
      </c>
      <c r="M5" s="50">
        <f>1*$D$5</f>
        <v>67</v>
      </c>
      <c r="N5" s="49">
        <f>1.1*$D$5</f>
        <v>73.7</v>
      </c>
      <c r="O5" s="49">
        <f>1.2*$D$5</f>
        <v>80.399999999999991</v>
      </c>
      <c r="P5" s="51">
        <f>1.3*$D$5</f>
        <v>87.100000000000009</v>
      </c>
    </row>
    <row r="6" spans="2:16" ht="17.25">
      <c r="B6" s="43" t="s">
        <v>22</v>
      </c>
      <c r="C6" s="52"/>
      <c r="D6" s="53"/>
      <c r="E6" s="58"/>
      <c r="F6" s="46">
        <f>D6*E6</f>
        <v>0</v>
      </c>
      <c r="G6" s="54"/>
      <c r="H6" s="301"/>
      <c r="I6" s="55">
        <f>0.7*$E$5</f>
        <v>3.9059999999999997</v>
      </c>
      <c r="J6" s="56">
        <f t="shared" ref="J6:P12" si="0">(J$5*$I6+SUM($F$6:$F$8)-((J$5*$I6+SUM($F$6:$F$8))/$F$9*$F$38)-($F$25*J$5/$D$5)-SUM($F$12:$F$13,$F$19,$F$24,$F$26:$F$31,$F$33:$F$34,$F$39))</f>
        <v>-194.99899291228033</v>
      </c>
      <c r="K6" s="56">
        <f t="shared" si="0"/>
        <v>-169.35219691228033</v>
      </c>
      <c r="L6" s="56">
        <f t="shared" si="0"/>
        <v>-143.70540091228031</v>
      </c>
      <c r="M6" s="56">
        <f t="shared" si="0"/>
        <v>-118.05860491228032</v>
      </c>
      <c r="N6" s="56">
        <f t="shared" si="0"/>
        <v>-92.411808912280321</v>
      </c>
      <c r="O6" s="56">
        <f t="shared" si="0"/>
        <v>-66.765012912280383</v>
      </c>
      <c r="P6" s="56">
        <f t="shared" si="0"/>
        <v>-41.118216912280332</v>
      </c>
    </row>
    <row r="7" spans="2:16" ht="17.25">
      <c r="B7" s="57" t="s">
        <v>23</v>
      </c>
      <c r="C7" s="34"/>
      <c r="D7" s="57"/>
      <c r="E7" s="34"/>
      <c r="F7" s="58">
        <v>9</v>
      </c>
      <c r="G7" s="54"/>
      <c r="H7" s="301"/>
      <c r="I7" s="55">
        <f>0.8*$E$5</f>
        <v>4.4640000000000004</v>
      </c>
      <c r="J7" s="56">
        <f t="shared" si="0"/>
        <v>-169.35219691228031</v>
      </c>
      <c r="K7" s="56">
        <f t="shared" si="0"/>
        <v>-140.04157291228029</v>
      </c>
      <c r="L7" s="56">
        <f t="shared" si="0"/>
        <v>-110.73094891228027</v>
      </c>
      <c r="M7" s="56">
        <f t="shared" si="0"/>
        <v>-81.420324912280307</v>
      </c>
      <c r="N7" s="56">
        <f t="shared" si="0"/>
        <v>-52.109700912280232</v>
      </c>
      <c r="O7" s="56">
        <f t="shared" si="0"/>
        <v>-22.799076912280327</v>
      </c>
      <c r="P7" s="56">
        <f t="shared" si="0"/>
        <v>6.5115470877197481</v>
      </c>
    </row>
    <row r="8" spans="2:16" ht="17.25">
      <c r="B8" s="57" t="s">
        <v>24</v>
      </c>
      <c r="C8" s="34"/>
      <c r="D8" s="57"/>
      <c r="E8" s="34"/>
      <c r="F8" s="59">
        <v>0</v>
      </c>
      <c r="G8" s="54"/>
      <c r="H8" s="301"/>
      <c r="I8" s="55">
        <f>0.9*$E$5</f>
        <v>5.0220000000000002</v>
      </c>
      <c r="J8" s="56">
        <f t="shared" si="0"/>
        <v>-143.70540091228031</v>
      </c>
      <c r="K8" s="56">
        <f t="shared" si="0"/>
        <v>-110.73094891228027</v>
      </c>
      <c r="L8" s="56">
        <f t="shared" si="0"/>
        <v>-77.756496912280284</v>
      </c>
      <c r="M8" s="56">
        <f t="shared" si="0"/>
        <v>-44.782044912280298</v>
      </c>
      <c r="N8" s="56">
        <f t="shared" si="0"/>
        <v>-11.807592912280256</v>
      </c>
      <c r="O8" s="56">
        <f t="shared" si="0"/>
        <v>21.166859087719672</v>
      </c>
      <c r="P8" s="56">
        <f t="shared" si="0"/>
        <v>54.141311087719771</v>
      </c>
    </row>
    <row r="9" spans="2:16" ht="17.25">
      <c r="B9" s="60" t="s">
        <v>373</v>
      </c>
      <c r="C9" s="34"/>
      <c r="D9" s="61"/>
      <c r="E9" s="61"/>
      <c r="F9" s="62">
        <f>SUM(F5:F8)</f>
        <v>382.86</v>
      </c>
      <c r="G9" s="63"/>
      <c r="H9" s="301"/>
      <c r="I9" s="64">
        <f>1*$E$5</f>
        <v>5.58</v>
      </c>
      <c r="J9" s="56">
        <f t="shared" si="0"/>
        <v>-118.05860491228032</v>
      </c>
      <c r="K9" s="56">
        <f t="shared" si="0"/>
        <v>-81.420324912280307</v>
      </c>
      <c r="L9" s="56">
        <f t="shared" si="0"/>
        <v>-44.782044912280242</v>
      </c>
      <c r="M9" s="65">
        <f t="shared" si="0"/>
        <v>-8.1437649122802895</v>
      </c>
      <c r="N9" s="56">
        <f t="shared" si="0"/>
        <v>28.494515087719719</v>
      </c>
      <c r="O9" s="56">
        <f t="shared" si="0"/>
        <v>65.132795087719614</v>
      </c>
      <c r="P9" s="56">
        <f t="shared" si="0"/>
        <v>101.77107508771974</v>
      </c>
    </row>
    <row r="10" spans="2:16" ht="17.25">
      <c r="B10" s="60"/>
      <c r="C10" s="34"/>
      <c r="D10" s="61"/>
      <c r="E10" s="61"/>
      <c r="F10" s="66"/>
      <c r="G10" s="63"/>
      <c r="H10" s="301"/>
      <c r="I10" s="55">
        <f>1.1*$E$5</f>
        <v>6.1380000000000008</v>
      </c>
      <c r="J10" s="56">
        <f t="shared" si="0"/>
        <v>-92.411808912280321</v>
      </c>
      <c r="K10" s="56">
        <f t="shared" si="0"/>
        <v>-52.109700912280232</v>
      </c>
      <c r="L10" s="56">
        <f t="shared" si="0"/>
        <v>-11.807592912280256</v>
      </c>
      <c r="M10" s="56">
        <f t="shared" si="0"/>
        <v>28.494515087719719</v>
      </c>
      <c r="N10" s="56">
        <f t="shared" si="0"/>
        <v>68.796623087719752</v>
      </c>
      <c r="O10" s="56">
        <f t="shared" si="0"/>
        <v>109.09873108771967</v>
      </c>
      <c r="P10" s="56">
        <f t="shared" si="0"/>
        <v>149.40083908771987</v>
      </c>
    </row>
    <row r="11" spans="2:16" ht="17.25">
      <c r="B11" s="67" t="s">
        <v>856</v>
      </c>
      <c r="C11" s="40" t="s">
        <v>556</v>
      </c>
      <c r="D11" s="41" t="s">
        <v>25</v>
      </c>
      <c r="E11" s="41" t="s">
        <v>854</v>
      </c>
      <c r="F11" s="41" t="s">
        <v>855</v>
      </c>
      <c r="G11" s="63"/>
      <c r="H11" s="301"/>
      <c r="I11" s="55">
        <f>1.2*$E$5</f>
        <v>6.6959999999999997</v>
      </c>
      <c r="J11" s="56">
        <f t="shared" si="0"/>
        <v>-66.765012912280326</v>
      </c>
      <c r="K11" s="56">
        <f t="shared" si="0"/>
        <v>-22.799076912280327</v>
      </c>
      <c r="L11" s="56">
        <f t="shared" si="0"/>
        <v>21.166859087719672</v>
      </c>
      <c r="M11" s="56">
        <f t="shared" si="0"/>
        <v>65.132795087719671</v>
      </c>
      <c r="N11" s="56">
        <f t="shared" si="0"/>
        <v>109.09873108771967</v>
      </c>
      <c r="O11" s="56">
        <f t="shared" si="0"/>
        <v>153.06466708771961</v>
      </c>
      <c r="P11" s="56">
        <f t="shared" si="0"/>
        <v>197.03060308771978</v>
      </c>
    </row>
    <row r="12" spans="2:16" ht="17.25">
      <c r="B12" s="57" t="s">
        <v>14</v>
      </c>
      <c r="C12" s="7" t="s">
        <v>686</v>
      </c>
      <c r="D12" s="68">
        <v>100</v>
      </c>
      <c r="E12" s="69">
        <v>0.34</v>
      </c>
      <c r="F12" s="46">
        <f>D12*E12</f>
        <v>34</v>
      </c>
      <c r="G12" s="63"/>
      <c r="H12" s="301"/>
      <c r="I12" s="70">
        <f>1.3*$E$5</f>
        <v>7.2540000000000004</v>
      </c>
      <c r="J12" s="56">
        <f t="shared" si="0"/>
        <v>-41.118216912280332</v>
      </c>
      <c r="K12" s="56">
        <f t="shared" si="0"/>
        <v>6.5115470877196913</v>
      </c>
      <c r="L12" s="56">
        <f t="shared" si="0"/>
        <v>54.141311087719771</v>
      </c>
      <c r="M12" s="56">
        <f t="shared" si="0"/>
        <v>101.77107508771974</v>
      </c>
      <c r="N12" s="56">
        <f t="shared" si="0"/>
        <v>149.40083908771976</v>
      </c>
      <c r="O12" s="56">
        <f t="shared" si="0"/>
        <v>197.03060308771967</v>
      </c>
      <c r="P12" s="56">
        <f t="shared" si="0"/>
        <v>244.66036708771981</v>
      </c>
    </row>
    <row r="13" spans="2:16">
      <c r="B13" s="57" t="s">
        <v>26</v>
      </c>
      <c r="C13" s="7"/>
      <c r="D13" s="34"/>
      <c r="E13" s="71"/>
      <c r="F13" s="46">
        <f>SUMPRODUCT(D14:D18,E14:E18)+F17</f>
        <v>138.47999999999999</v>
      </c>
      <c r="G13" s="63"/>
      <c r="H13" s="72"/>
    </row>
    <row r="14" spans="2:16">
      <c r="B14" s="73" t="s">
        <v>27</v>
      </c>
      <c r="C14" s="7" t="s">
        <v>686</v>
      </c>
      <c r="D14" s="45">
        <v>95</v>
      </c>
      <c r="E14" s="71">
        <f>'Input prices'!D4</f>
        <v>0.7</v>
      </c>
      <c r="F14" s="46"/>
      <c r="G14" s="63"/>
      <c r="H14" s="72"/>
    </row>
    <row r="15" spans="2:16">
      <c r="B15" s="73" t="s">
        <v>28</v>
      </c>
      <c r="C15" s="7" t="s">
        <v>686</v>
      </c>
      <c r="D15" s="45">
        <v>42</v>
      </c>
      <c r="E15" s="71">
        <f>'Input prices'!D5</f>
        <v>0.73</v>
      </c>
      <c r="F15" s="46"/>
      <c r="G15" s="63"/>
      <c r="H15" s="74"/>
      <c r="I15"/>
      <c r="J15" s="75"/>
    </row>
    <row r="16" spans="2:16">
      <c r="B16" s="73" t="s">
        <v>8</v>
      </c>
      <c r="C16" s="7" t="s">
        <v>686</v>
      </c>
      <c r="D16" s="45">
        <v>21</v>
      </c>
      <c r="E16" s="71">
        <f>'Input prices'!D6</f>
        <v>0.42</v>
      </c>
      <c r="F16" s="46"/>
      <c r="G16" s="63"/>
      <c r="H16" s="74"/>
      <c r="I16"/>
      <c r="K16" s="76"/>
    </row>
    <row r="17" spans="2:11">
      <c r="B17" s="73" t="s">
        <v>690</v>
      </c>
      <c r="C17" s="7"/>
      <c r="D17" s="34"/>
      <c r="E17" s="71"/>
      <c r="F17" s="77">
        <v>15</v>
      </c>
      <c r="G17" s="63"/>
      <c r="H17" s="72"/>
      <c r="I17" s="1"/>
      <c r="K17" s="76"/>
    </row>
    <row r="18" spans="2:11">
      <c r="B18" s="73" t="s">
        <v>9</v>
      </c>
      <c r="C18" s="7" t="s">
        <v>859</v>
      </c>
      <c r="D18" s="45">
        <v>0.5</v>
      </c>
      <c r="E18" s="71">
        <f>'Input prices'!D7</f>
        <v>35</v>
      </c>
      <c r="F18" s="78"/>
      <c r="G18" s="63"/>
      <c r="H18" s="72"/>
      <c r="I18" s="9"/>
      <c r="K18" s="79"/>
    </row>
    <row r="19" spans="2:11">
      <c r="B19" s="57" t="s">
        <v>29</v>
      </c>
      <c r="C19" s="7"/>
      <c r="D19" s="34"/>
      <c r="E19" s="71"/>
      <c r="F19" s="46">
        <f>SUMPRODUCT(D20:D23,E20:E23)</f>
        <v>80</v>
      </c>
      <c r="G19" s="37"/>
      <c r="H19" s="72"/>
      <c r="I19" s="9"/>
      <c r="K19" s="79"/>
    </row>
    <row r="20" spans="2:11">
      <c r="B20" s="73" t="s">
        <v>15</v>
      </c>
      <c r="C20" s="7" t="s">
        <v>860</v>
      </c>
      <c r="D20" s="45">
        <v>2</v>
      </c>
      <c r="E20" s="69">
        <v>25</v>
      </c>
      <c r="F20" s="46"/>
      <c r="G20" s="37"/>
      <c r="H20" s="72"/>
      <c r="I20" s="9"/>
      <c r="K20" s="79"/>
    </row>
    <row r="21" spans="2:11">
      <c r="B21" s="73" t="s">
        <v>691</v>
      </c>
      <c r="C21" s="7" t="s">
        <v>860</v>
      </c>
      <c r="D21" s="45">
        <v>1</v>
      </c>
      <c r="E21" s="69">
        <v>8</v>
      </c>
      <c r="F21" s="46"/>
      <c r="G21" s="37"/>
      <c r="H21" s="72"/>
      <c r="I21" s="9"/>
      <c r="K21" s="79"/>
    </row>
    <row r="22" spans="2:11">
      <c r="B22" s="73" t="s">
        <v>692</v>
      </c>
      <c r="C22" s="7" t="s">
        <v>860</v>
      </c>
      <c r="D22" s="45">
        <v>1</v>
      </c>
      <c r="E22" s="69">
        <v>22</v>
      </c>
      <c r="F22" s="46"/>
      <c r="G22" s="63"/>
      <c r="H22" s="72"/>
      <c r="I22" s="9"/>
      <c r="K22" s="79"/>
    </row>
    <row r="23" spans="2:11">
      <c r="B23" s="73" t="s">
        <v>879</v>
      </c>
      <c r="C23" s="7" t="s">
        <v>860</v>
      </c>
      <c r="D23" s="45">
        <v>0</v>
      </c>
      <c r="E23" s="69">
        <v>0</v>
      </c>
      <c r="F23" s="46"/>
      <c r="G23" s="63"/>
      <c r="H23" s="72"/>
      <c r="I23" s="9"/>
      <c r="K23" s="79"/>
    </row>
    <row r="24" spans="2:11">
      <c r="B24" s="57" t="s">
        <v>359</v>
      </c>
      <c r="C24" s="7" t="s">
        <v>861</v>
      </c>
      <c r="D24" s="45">
        <v>0</v>
      </c>
      <c r="E24" s="71">
        <f>IFERROR(HLOOKUP($D$3,'Irrigation costs'!$D$2:$F$17,15,FALSE),0)</f>
        <v>0</v>
      </c>
      <c r="F24" s="46">
        <f>D24*E24</f>
        <v>0</v>
      </c>
      <c r="G24" s="63"/>
      <c r="H24" s="72"/>
      <c r="I24" s="9"/>
      <c r="K24" s="80"/>
    </row>
    <row r="25" spans="2:11">
      <c r="B25" s="57" t="s">
        <v>755</v>
      </c>
      <c r="C25" s="7" t="s">
        <v>862</v>
      </c>
      <c r="D25" s="81">
        <v>0</v>
      </c>
      <c r="E25" s="69">
        <v>0.05</v>
      </c>
      <c r="F25" s="46">
        <f>IFERROR(D25*100*E25*D5,0)</f>
        <v>0</v>
      </c>
      <c r="G25" s="63"/>
      <c r="H25" s="72"/>
      <c r="I25" s="9"/>
      <c r="K25" s="79"/>
    </row>
    <row r="26" spans="2:11">
      <c r="B26" s="57" t="s">
        <v>30</v>
      </c>
      <c r="C26" s="7"/>
      <c r="D26" s="34"/>
      <c r="E26" s="71"/>
      <c r="F26" s="58">
        <v>8.5</v>
      </c>
      <c r="G26" s="63"/>
      <c r="H26" s="72"/>
      <c r="I26" s="1"/>
      <c r="K26" s="76"/>
    </row>
    <row r="27" spans="2:11">
      <c r="B27" s="57" t="s">
        <v>31</v>
      </c>
      <c r="C27" s="7"/>
      <c r="D27" s="34"/>
      <c r="E27" s="71"/>
      <c r="F27" s="58">
        <v>13</v>
      </c>
      <c r="G27" s="63"/>
      <c r="H27" s="72"/>
      <c r="I27" s="9"/>
      <c r="K27" s="82"/>
    </row>
    <row r="28" spans="2:11">
      <c r="B28" s="57" t="s">
        <v>32</v>
      </c>
      <c r="C28" s="7" t="s">
        <v>654</v>
      </c>
      <c r="D28" s="34"/>
      <c r="E28" s="71"/>
      <c r="F28" s="83">
        <f>G58</f>
        <v>7.3709999999999996</v>
      </c>
      <c r="G28" s="63"/>
      <c r="H28" s="72"/>
      <c r="I28" s="9"/>
      <c r="K28" s="82"/>
    </row>
    <row r="29" spans="2:11">
      <c r="B29" s="57" t="s">
        <v>808</v>
      </c>
      <c r="C29" s="7" t="s">
        <v>863</v>
      </c>
      <c r="D29" s="34">
        <f>F74</f>
        <v>0.4114326923076923</v>
      </c>
      <c r="E29" s="71">
        <f>'Input prices'!D8</f>
        <v>22.5</v>
      </c>
      <c r="F29" s="83">
        <f>E29*D29</f>
        <v>9.2572355769230761</v>
      </c>
      <c r="G29" s="63"/>
      <c r="H29" s="72"/>
      <c r="I29" s="9"/>
      <c r="K29" s="82"/>
    </row>
    <row r="30" spans="2:11">
      <c r="B30" s="57" t="s">
        <v>702</v>
      </c>
      <c r="C30" s="7" t="s">
        <v>864</v>
      </c>
      <c r="D30" s="34">
        <f>E74</f>
        <v>3.6780689102564104</v>
      </c>
      <c r="E30" s="71">
        <f>'Input prices'!D9</f>
        <v>2.9</v>
      </c>
      <c r="F30" s="83">
        <f>D30*E30</f>
        <v>10.66639983974359</v>
      </c>
      <c r="G30" s="63"/>
      <c r="H30" s="72"/>
      <c r="I30" s="9"/>
      <c r="K30" s="76"/>
    </row>
    <row r="31" spans="2:11">
      <c r="B31" s="57" t="s">
        <v>33</v>
      </c>
      <c r="C31" s="84" t="s">
        <v>654</v>
      </c>
      <c r="D31" s="85"/>
      <c r="E31" s="34"/>
      <c r="F31" s="83">
        <f>G74-F30-F29</f>
        <v>24.867214184915749</v>
      </c>
      <c r="G31" s="63"/>
      <c r="H31" s="72"/>
      <c r="I31" s="9"/>
      <c r="K31" s="86"/>
    </row>
    <row r="32" spans="2:11">
      <c r="B32" s="57" t="s">
        <v>366</v>
      </c>
      <c r="C32" s="84" t="s">
        <v>865</v>
      </c>
      <c r="D32" s="197">
        <v>0.03</v>
      </c>
      <c r="E32" s="34"/>
      <c r="F32" s="83">
        <f>F9*D32</f>
        <v>11.485799999999999</v>
      </c>
      <c r="G32" s="63"/>
      <c r="H32" s="72"/>
      <c r="I32" s="9"/>
      <c r="K32" s="87"/>
    </row>
    <row r="33" spans="2:8">
      <c r="B33" s="57" t="s">
        <v>34</v>
      </c>
      <c r="C33" s="7" t="s">
        <v>654</v>
      </c>
      <c r="D33" s="85"/>
      <c r="E33" s="34"/>
      <c r="F33" s="58">
        <v>0</v>
      </c>
      <c r="G33" s="63"/>
      <c r="H33" s="72"/>
    </row>
    <row r="34" spans="2:8">
      <c r="B34" s="57" t="s">
        <v>11</v>
      </c>
      <c r="C34" s="84" t="s">
        <v>866</v>
      </c>
      <c r="D34" s="88">
        <f>SUM(F12:F13,F19,F25:F33)/2</f>
        <v>168.81382480079117</v>
      </c>
      <c r="E34" s="89">
        <f>'Input prices'!D10</f>
        <v>7.2499999999999995E-2</v>
      </c>
      <c r="F34" s="90">
        <f>E34*D34</f>
        <v>12.239002298057359</v>
      </c>
      <c r="G34" s="91"/>
      <c r="H34" s="72"/>
    </row>
    <row r="35" spans="2:8">
      <c r="B35" s="60" t="s">
        <v>372</v>
      </c>
      <c r="C35" s="92"/>
      <c r="D35" s="61"/>
      <c r="E35" s="34"/>
      <c r="F35" s="62">
        <f>SUM(F12:F13,F19,F24:F34)</f>
        <v>349.86665189963969</v>
      </c>
      <c r="G35" s="63"/>
      <c r="H35" s="72"/>
    </row>
    <row r="36" spans="2:8">
      <c r="B36" s="36"/>
      <c r="C36" s="92"/>
      <c r="D36" s="61"/>
      <c r="E36" s="34"/>
      <c r="F36" s="36"/>
      <c r="G36" s="63"/>
      <c r="H36" s="72"/>
    </row>
    <row r="37" spans="2:8" ht="17.25">
      <c r="B37" s="67" t="s">
        <v>867</v>
      </c>
      <c r="C37" s="40" t="s">
        <v>556</v>
      </c>
      <c r="D37" s="41" t="s">
        <v>25</v>
      </c>
      <c r="E37" s="41" t="s">
        <v>854</v>
      </c>
      <c r="F37" s="41" t="s">
        <v>855</v>
      </c>
      <c r="G37" s="63"/>
      <c r="H37" s="72"/>
    </row>
    <row r="38" spans="2:8">
      <c r="B38" s="57" t="s">
        <v>18</v>
      </c>
      <c r="C38" s="84" t="s">
        <v>865</v>
      </c>
      <c r="D38" s="197">
        <v>0.02</v>
      </c>
      <c r="E38" s="34"/>
      <c r="F38" s="46">
        <f>D38*F9</f>
        <v>7.6572000000000005</v>
      </c>
      <c r="G38" s="63"/>
      <c r="H38" s="72"/>
    </row>
    <row r="39" spans="2:8">
      <c r="B39" s="57" t="s">
        <v>376</v>
      </c>
      <c r="C39" s="84" t="s">
        <v>654</v>
      </c>
      <c r="D39" s="61"/>
      <c r="E39" s="34"/>
      <c r="F39" s="46">
        <f>H74+HLOOKUP(D3,'Irrigation costs'!$D$2:$G$17,14, FALSE)</f>
        <v>44.965713012640613</v>
      </c>
      <c r="G39" s="63"/>
      <c r="H39" s="72"/>
    </row>
    <row r="40" spans="2:8">
      <c r="B40" s="57" t="s">
        <v>35</v>
      </c>
      <c r="C40" s="84" t="s">
        <v>654</v>
      </c>
      <c r="D40" s="61"/>
      <c r="E40" s="34"/>
      <c r="F40" s="93">
        <v>112.5</v>
      </c>
      <c r="G40" s="91"/>
      <c r="H40" s="72"/>
    </row>
    <row r="41" spans="2:8">
      <c r="B41" s="60" t="s">
        <v>868</v>
      </c>
      <c r="C41" s="92"/>
      <c r="D41" s="61"/>
      <c r="E41" s="34"/>
      <c r="F41" s="62">
        <f>SUM(F38:F40)</f>
        <v>165.12291301264062</v>
      </c>
      <c r="G41" s="63"/>
      <c r="H41" s="72"/>
    </row>
    <row r="42" spans="2:8">
      <c r="B42" s="36"/>
      <c r="C42" s="34"/>
      <c r="D42" s="61"/>
      <c r="E42" s="34"/>
      <c r="F42" s="46"/>
      <c r="G42" s="91"/>
      <c r="H42" s="72"/>
    </row>
    <row r="43" spans="2:8" ht="15" customHeight="1">
      <c r="B43" s="60" t="s">
        <v>375</v>
      </c>
      <c r="C43" s="34"/>
      <c r="D43" s="61"/>
      <c r="E43" s="61"/>
      <c r="F43" s="62">
        <f>F35+F41</f>
        <v>514.98956491228034</v>
      </c>
      <c r="G43" s="37"/>
      <c r="H43" s="72"/>
    </row>
    <row r="44" spans="2:8">
      <c r="B44" s="94"/>
      <c r="C44" s="95"/>
      <c r="D44" s="96"/>
      <c r="E44" s="95"/>
      <c r="F44" s="97"/>
      <c r="G44" s="63"/>
      <c r="H44" s="72"/>
    </row>
    <row r="45" spans="2:8">
      <c r="B45" s="98" t="s">
        <v>367</v>
      </c>
      <c r="C45" s="34"/>
      <c r="D45" s="61"/>
      <c r="E45" s="34"/>
      <c r="F45" s="62">
        <f>F9-F35</f>
        <v>32.993348100360322</v>
      </c>
      <c r="G45" s="63"/>
      <c r="H45" s="72"/>
    </row>
    <row r="46" spans="2:8">
      <c r="B46" s="98" t="s">
        <v>368</v>
      </c>
      <c r="C46" s="34"/>
      <c r="D46" s="61"/>
      <c r="E46" s="34"/>
      <c r="F46" s="62">
        <f>F9-F43</f>
        <v>-132.12956491228033</v>
      </c>
      <c r="G46" s="37"/>
      <c r="H46" s="72"/>
    </row>
    <row r="47" spans="2:8">
      <c r="B47" s="99" t="s">
        <v>369</v>
      </c>
      <c r="C47" s="100"/>
      <c r="D47" s="101"/>
      <c r="E47" s="100"/>
      <c r="F47" s="102">
        <f>F9-F43+F40+F32</f>
        <v>-8.1437649122803304</v>
      </c>
      <c r="G47" s="63"/>
      <c r="H47" s="72"/>
    </row>
    <row r="48" spans="2:8">
      <c r="B48" s="36"/>
      <c r="C48" s="34"/>
      <c r="D48" s="34" t="s">
        <v>36</v>
      </c>
      <c r="E48" s="34"/>
      <c r="F48" s="46">
        <f>F35/D5</f>
        <v>5.2218903268602936</v>
      </c>
      <c r="G48" s="63"/>
      <c r="H48" s="72"/>
    </row>
    <row r="49" spans="2:9">
      <c r="B49" s="36"/>
      <c r="C49" s="34"/>
      <c r="D49" s="34" t="s">
        <v>37</v>
      </c>
      <c r="E49" s="34"/>
      <c r="F49" s="46">
        <f>F41/D5</f>
        <v>2.4645210897409049</v>
      </c>
      <c r="G49" s="63"/>
      <c r="H49" s="72"/>
    </row>
    <row r="50" spans="2:9">
      <c r="B50" s="103"/>
      <c r="C50" s="100"/>
      <c r="D50" s="100" t="s">
        <v>38</v>
      </c>
      <c r="E50" s="100"/>
      <c r="F50" s="90">
        <f>F43/D5</f>
        <v>7.6864114166011994</v>
      </c>
      <c r="G50" s="63"/>
      <c r="H50" s="72"/>
    </row>
    <row r="51" spans="2:9">
      <c r="B51" s="37"/>
      <c r="C51" s="63"/>
      <c r="D51" s="104"/>
      <c r="E51" s="63"/>
      <c r="F51" s="37"/>
      <c r="G51" s="63"/>
      <c r="H51" s="72"/>
    </row>
    <row r="52" spans="2:9">
      <c r="B52" s="302" t="s">
        <v>869</v>
      </c>
      <c r="C52" s="302"/>
      <c r="D52" s="302"/>
      <c r="E52" s="302"/>
      <c r="F52" s="302"/>
      <c r="G52" s="106"/>
      <c r="H52" s="72"/>
    </row>
    <row r="53" spans="2:9">
      <c r="B53" s="107" t="s">
        <v>560</v>
      </c>
      <c r="C53" s="108" t="s">
        <v>561</v>
      </c>
      <c r="D53" s="108" t="s">
        <v>556</v>
      </c>
      <c r="E53" s="108" t="s">
        <v>754</v>
      </c>
      <c r="F53" s="108" t="s">
        <v>10</v>
      </c>
      <c r="G53" s="109" t="s">
        <v>698</v>
      </c>
      <c r="H53" s="72"/>
    </row>
    <row r="54" spans="2:9">
      <c r="B54" s="110" t="s">
        <v>563</v>
      </c>
      <c r="C54" s="111">
        <f>IF(ISBLANK($B54),"",VLOOKUP($B54,'Machinery Input Tables'!$C$133:$F$184,2,FALSE))</f>
        <v>7.3709999999999996</v>
      </c>
      <c r="D54" s="111" t="str">
        <f>IF(ISBLANK($B54),"",VLOOKUP($B54,'Machinery Input Tables'!$C$133:$F$184,3,FALSE))</f>
        <v>per acre</v>
      </c>
      <c r="E54" s="112"/>
      <c r="F54" s="110">
        <v>1</v>
      </c>
      <c r="G54" s="113">
        <f>IFERROR(C54*F54*IF(D54="per acre",1,E54),"-")</f>
        <v>7.3709999999999996</v>
      </c>
      <c r="H54" s="72"/>
    </row>
    <row r="55" spans="2:9">
      <c r="B55" s="110"/>
      <c r="C55" s="111" t="str">
        <f>IF(ISBLANK($B55),"",VLOOKUP($B55,'Machinery Input Tables'!$C$133:$F$184,2,FALSE))</f>
        <v/>
      </c>
      <c r="D55" s="111" t="str">
        <f>IF(ISBLANK($B55),"",VLOOKUP($B55,'Machinery Input Tables'!$C$133:$F$184,3,FALSE))</f>
        <v/>
      </c>
      <c r="E55" s="112"/>
      <c r="F55" s="110"/>
      <c r="G55" s="113" t="str">
        <f t="shared" ref="G55:G57" si="1">IFERROR(C55*F55*IF(D55="per acre",1,E55),"-")</f>
        <v>-</v>
      </c>
      <c r="H55" s="72"/>
    </row>
    <row r="56" spans="2:9">
      <c r="B56" s="114"/>
      <c r="C56" s="111" t="str">
        <f>IF(ISBLANK($B56),"",VLOOKUP($B56,'Machinery Input Tables'!$C$133:$F$184,2,FALSE))</f>
        <v/>
      </c>
      <c r="D56" s="111" t="str">
        <f>IF(ISBLANK($B56),"",VLOOKUP($B56,'Machinery Input Tables'!$C$133:$F$184,3,FALSE))</f>
        <v/>
      </c>
      <c r="E56" s="114"/>
      <c r="F56" s="114"/>
      <c r="G56" s="113" t="str">
        <f t="shared" si="1"/>
        <v>-</v>
      </c>
      <c r="H56" s="72"/>
    </row>
    <row r="57" spans="2:9">
      <c r="B57" s="115"/>
      <c r="C57" s="116" t="str">
        <f>IF(ISBLANK($B57),"",VLOOKUP($B57,'Machinery Input Tables'!$C$133:$F$184,2,FALSE))</f>
        <v/>
      </c>
      <c r="D57" s="117" t="str">
        <f>IF(ISBLANK($B57),"",VLOOKUP($B57,'Machinery Input Tables'!$C$133:$F$184,3,FALSE))</f>
        <v/>
      </c>
      <c r="E57" s="115"/>
      <c r="F57" s="115"/>
      <c r="G57" s="118" t="str">
        <f t="shared" si="1"/>
        <v>-</v>
      </c>
      <c r="H57" s="72"/>
    </row>
    <row r="58" spans="2:9">
      <c r="B58" s="119" t="s">
        <v>699</v>
      </c>
      <c r="C58" s="120"/>
      <c r="D58" s="119"/>
      <c r="E58" s="120"/>
      <c r="F58" s="120"/>
      <c r="G58" s="121">
        <f>SUM(G54:G57)</f>
        <v>7.3709999999999996</v>
      </c>
      <c r="H58" s="72"/>
    </row>
    <row r="59" spans="2:9" s="6" customFormat="1" ht="17.25">
      <c r="B59" s="302" t="s">
        <v>870</v>
      </c>
      <c r="C59" s="302"/>
      <c r="D59" s="302"/>
      <c r="E59" s="302"/>
      <c r="F59" s="302"/>
      <c r="G59" s="302"/>
      <c r="H59" s="302"/>
      <c r="I59" s="302"/>
    </row>
    <row r="60" spans="2:9">
      <c r="B60" s="303" t="s">
        <v>497</v>
      </c>
      <c r="C60" s="305" t="s">
        <v>498</v>
      </c>
      <c r="D60" s="123" t="s">
        <v>871</v>
      </c>
      <c r="E60" s="305" t="s">
        <v>499</v>
      </c>
      <c r="F60" s="305" t="s">
        <v>500</v>
      </c>
      <c r="G60" s="122" t="s">
        <v>501</v>
      </c>
      <c r="H60" s="122" t="s">
        <v>502</v>
      </c>
      <c r="I60" s="307" t="s">
        <v>503</v>
      </c>
    </row>
    <row r="61" spans="2:9">
      <c r="B61" s="304"/>
      <c r="C61" s="306"/>
      <c r="D61" s="125" t="s">
        <v>872</v>
      </c>
      <c r="E61" s="306"/>
      <c r="F61" s="306"/>
      <c r="G61" s="124" t="s">
        <v>516</v>
      </c>
      <c r="H61" s="124" t="s">
        <v>516</v>
      </c>
      <c r="I61" s="308"/>
    </row>
    <row r="62" spans="2:9">
      <c r="B62" s="126"/>
      <c r="C62" s="127" t="s">
        <v>873</v>
      </c>
      <c r="D62" s="128" t="s">
        <v>522</v>
      </c>
      <c r="E62" s="128" t="s">
        <v>519</v>
      </c>
      <c r="F62" s="128" t="s">
        <v>520</v>
      </c>
      <c r="G62" s="128" t="s">
        <v>521</v>
      </c>
      <c r="H62" s="128" t="s">
        <v>521</v>
      </c>
      <c r="I62" s="128" t="s">
        <v>523</v>
      </c>
    </row>
    <row r="63" spans="2:9">
      <c r="B63" s="129" t="s">
        <v>801</v>
      </c>
      <c r="C63" s="129" t="s">
        <v>649</v>
      </c>
      <c r="D63" s="130">
        <v>1</v>
      </c>
      <c r="E63" s="131">
        <f>IFERROR(IF(ISBLANK(C63),"",IF(OR(ISBLANK(B63),IFERROR(VLOOKUP(B63,'Machinery Input Tables'!$B$6:$AF$121,13,FALSE),"")='Machinery Input Tables'!$N$128),1,VLOOKUP(B63,'Machinery Input Tables'!$B$6:$AF$121,28,FALSE))*VLOOKUP(C63,'Machinery Input Tables'!$AH$6:$BA$32,19,FALSE))*D63,"-")</f>
        <v>0.63292307692307692</v>
      </c>
      <c r="F63" s="131">
        <f>IFERROR(IF(AND(ISBLANK(B63)*ISBLANK(C63)),"",IF(ISBLANK(B63),1,IF(VLOOKUP(B63,'Machinery Input Tables'!$B$6:$AF$121,13,FALSE)='Machinery Input Tables'!$N$128,VLOOKUP(B63,'Machinery Input Tables'!$B$6:$AF$121,17,FALSE),VLOOKUP(B63,'Machinery Input Tables'!$B$6:$AF$121,28,FALSE))))*D63,"-")</f>
        <v>4.230769230769231E-2</v>
      </c>
      <c r="G63" s="132">
        <f>IFERROR(IF(ISBLANK(C63),"",E63*'Machinery Input Tables'!$BP$10*'Machinery Input Tables'!$BP$11+E63*'Machinery Input Tables'!$BP$10+F63*'Machinery Input Tables'!$BP$6+(VLOOKUP(C63,'Machinery Input Tables'!$AH$6:$BA$32,18,FALSE)*IF(IFERROR(VLOOKUP(B63,'Machinery Input Tables'!$B$6:$AF$121,13,FALSE)='Machinery Input Tables'!$N$128,1),1,VLOOKUP(B63,'Machinery Input Tables'!$B$6:$AF$121,28,FALSE))+IFERROR(VLOOKUP(B63,'Machinery Input Tables'!$B$6:$AF$121,27,FALSE),0))*D63),"-")</f>
        <v>10.778029393857556</v>
      </c>
      <c r="H63" s="132">
        <f>IFERROR((IFERROR(VLOOKUP(B63,'Machinery Input Tables'!$B$6:$AF$121,24,FALSE),0)+VLOOKUP(C63,'Machinery Input Tables'!$AH$6:$BA$32,20,FALSE))*IF(IFERROR(VLOOKUP(B63,'Machinery Input Tables'!$B$6:$AF$121,13,FALSE)='Machinery Input Tables'!$N$128,1),1,VLOOKUP(B63,'Machinery Input Tables'!$B$6:$AF$121,28,FALSE))*D63,"-")</f>
        <v>13.991922328083596</v>
      </c>
      <c r="I63" s="132">
        <f>IFERROR(IF(ISBLANK(AND(B63,C63)),"",SUM(G63:H63)),"-")</f>
        <v>24.769951721941155</v>
      </c>
    </row>
    <row r="64" spans="2:9">
      <c r="B64" s="129" t="s">
        <v>694</v>
      </c>
      <c r="C64" s="129" t="s">
        <v>678</v>
      </c>
      <c r="D64" s="130">
        <v>2</v>
      </c>
      <c r="E64" s="131">
        <f>IFERROR(IF(ISBLANK(C64),"",IF(OR(ISBLANK(B64),IFERROR(VLOOKUP(B64,'Machinery Input Tables'!$B$6:$AF$121,13,FALSE),"")='Machinery Input Tables'!$N$128),1,VLOOKUP(B64,'Machinery Input Tables'!$B$6:$AF$121,28,FALSE))*VLOOKUP(C64,'Machinery Input Tables'!$AH$6:$BA$32,19,FALSE))*D64,"-")</f>
        <v>0.25208333333333333</v>
      </c>
      <c r="F64" s="131">
        <f>IFERROR(IF(AND(ISBLANK(B64)*ISBLANK(C64)),"",IF(ISBLANK(B64),1,IF(VLOOKUP(B64,'Machinery Input Tables'!$B$6:$AF$121,13,FALSE)='Machinery Input Tables'!$N$128,VLOOKUP(B64,'Machinery Input Tables'!$B$6:$AF$121,17,FALSE),VLOOKUP(B64,'Machinery Input Tables'!$B$6:$AF$121,28,FALSE))))*D64,"-")</f>
        <v>1.8333333333333333E-2</v>
      </c>
      <c r="G64" s="132">
        <f>IFERROR(IF(ISBLANK(C64),"",E64*'Machinery Input Tables'!$BP$10+F64*'Machinery Input Tables'!$BP$6+(VLOOKUP(C64,'Machinery Input Tables'!$AH$6:$BA$32,18,FALSE)*IF(IFERROR(VLOOKUP(B64,'Machinery Input Tables'!$B$6:$AF$121,13,FALSE)='Machinery Input Tables'!$N$128,1),1,VLOOKUP(B64,'Machinery Input Tables'!$B$6:$AF$121,28,FALSE))+IFERROR(VLOOKUP(B64,'Machinery Input Tables'!$B$6:$AF$121,27,FALSE),0))*D64),"-")</f>
        <v>5.6238073564489781</v>
      </c>
      <c r="H64" s="132">
        <f>IFERROR((IFERROR(VLOOKUP(B64,'Machinery Input Tables'!$B$6:$AF$121,24,FALSE),0)+VLOOKUP(C64,'Machinery Input Tables'!$AH$6:$BA$32,20,FALSE))*IF(IFERROR(VLOOKUP(B64,'Machinery Input Tables'!$B$6:$AF$121,13,FALSE)='Machinery Input Tables'!$N$128,1),1,VLOOKUP(B64,'Machinery Input Tables'!$B$6:$AF$121,28,FALSE))*D64,"-")</f>
        <v>3.2000737164930664</v>
      </c>
      <c r="I64" s="132">
        <f t="shared" ref="I64:I73" si="2">IFERROR(IF(ISBLANK(AND(B64,C64)),"",SUM(G64:H64)),"-")</f>
        <v>8.8238810729420436</v>
      </c>
    </row>
    <row r="65" spans="2:9">
      <c r="B65" s="129" t="s">
        <v>751</v>
      </c>
      <c r="C65" s="129" t="s">
        <v>848</v>
      </c>
      <c r="D65" s="130">
        <v>1</v>
      </c>
      <c r="E65" s="131">
        <f>IFERROR(IF(ISBLANK(C65),"",IF(OR(ISBLANK(B65),IFERROR(VLOOKUP(B65,'Machinery Input Tables'!$B$6:$AF$121,13,FALSE),"")='Machinery Input Tables'!$N$128),1,VLOOKUP(B65,'Machinery Input Tables'!$B$6:$AF$121,28,FALSE))*VLOOKUP(C65,'Machinery Input Tables'!$AH$6:$BA$32,19,FALSE))*D65,"-")</f>
        <v>1.2890625</v>
      </c>
      <c r="F65" s="131">
        <f>IFERROR(IF(AND(ISBLANK(B65)*ISBLANK(C65)),"",IF(ISBLANK(B65),1,IF(VLOOKUP(B65,'Machinery Input Tables'!$B$6:$AF$121,13,FALSE)='Machinery Input Tables'!$N$128,VLOOKUP(B65,'Machinery Input Tables'!$B$6:$AF$121,17,FALSE),VLOOKUP(B65,'Machinery Input Tables'!$B$6:$AF$121,28,FALSE))))*D65,"-")</f>
        <v>5.7291666666666664E-2</v>
      </c>
      <c r="G65" s="132">
        <f>IFERROR(IF(ISBLANK(C65),"",E65*'Machinery Input Tables'!$BP$10+F65*'Machinery Input Tables'!$BP$6+(VLOOKUP(C65,'Machinery Input Tables'!$AH$6:$BA$32,18,FALSE)*IF(IFERROR(VLOOKUP(B65,'Machinery Input Tables'!$B$6:$AF$121,13,FALSE)='Machinery Input Tables'!$N$128,1),1,VLOOKUP(B65,'Machinery Input Tables'!$B$6:$AF$121,28,FALSE))+IFERROR(VLOOKUP(B65,'Machinery Input Tables'!$B$6:$AF$121,27,FALSE),0))*D65),"-")</f>
        <v>10.959267140052072</v>
      </c>
      <c r="H65" s="132">
        <f>IFERROR((IFERROR(VLOOKUP(B65,'Machinery Input Tables'!$B$6:$AF$121,24,FALSE),0)+VLOOKUP(C65,'Machinery Input Tables'!$AH$6:$BA$32,20,FALSE))*IF(IFERROR(VLOOKUP(B65,'Machinery Input Tables'!$B$6:$AF$121,13,FALSE)='Machinery Input Tables'!$N$128,1),1,VLOOKUP(B65,'Machinery Input Tables'!$B$6:$AF$121,28,FALSE))*D65,"-")</f>
        <v>16.907479145828638</v>
      </c>
      <c r="I65" s="132">
        <f t="shared" si="2"/>
        <v>27.866746285880708</v>
      </c>
    </row>
    <row r="66" spans="2:9">
      <c r="B66" s="129" t="s">
        <v>729</v>
      </c>
      <c r="C66" s="129" t="s">
        <v>849</v>
      </c>
      <c r="D66" s="130">
        <v>0.08</v>
      </c>
      <c r="E66" s="131">
        <f>IFERROR(IF(ISBLANK(C66),"",IF(OR(ISBLANK(B66),IFERROR(VLOOKUP(B66,'Machinery Input Tables'!$B$6:$AF$121,13,FALSE),"")='Machinery Input Tables'!$N$128),1,VLOOKUP(B66,'Machinery Input Tables'!$B$6:$AF$121,28,FALSE))*VLOOKUP(C66,'Machinery Input Tables'!$AH$6:$BA$32,19,FALSE))*D66,"-")</f>
        <v>0.57000000000000006</v>
      </c>
      <c r="F66" s="131">
        <f>IFERROR(IF(AND(ISBLANK(B66)*ISBLANK(C66)),"",IF(ISBLANK(B66),1,IF(VLOOKUP(B66,'Machinery Input Tables'!$B$6:$AF$121,13,FALSE)='Machinery Input Tables'!$N$128,VLOOKUP(B66,'Machinery Input Tables'!$B$6:$AF$121,17,FALSE),VLOOKUP(B66,'Machinery Input Tables'!$B$6:$AF$121,28,FALSE))))*D66,"-")</f>
        <v>8.8000000000000009E-2</v>
      </c>
      <c r="G66" s="132">
        <f>IFERROR(IF(ISBLANK(C66),"",E66*'Machinery Input Tables'!$BP$10+F66*'Machinery Input Tables'!$BP$6+(VLOOKUP(C66,'Machinery Input Tables'!$AH$6:$BA$32,18,FALSE)*IF(IFERROR(VLOOKUP(B66,'Machinery Input Tables'!$B$6:$AF$121,13,FALSE)='Machinery Input Tables'!$N$128,1),1,VLOOKUP(B66,'Machinery Input Tables'!$B$6:$AF$121,28,FALSE))+IFERROR(VLOOKUP(B66,'Machinery Input Tables'!$B$6:$AF$121,27,FALSE),0))*D66),"-")</f>
        <v>5.8303794797658099</v>
      </c>
      <c r="H66" s="132">
        <f>IFERROR((IFERROR(VLOOKUP(B66,'Machinery Input Tables'!$B$6:$AF$121,24,FALSE),0)+VLOOKUP(C66,'Machinery Input Tables'!$AH$6:$BA$32,20,FALSE))*IF(IFERROR(VLOOKUP(B66,'Machinery Input Tables'!$B$6:$AF$121,13,FALSE)='Machinery Input Tables'!$N$128,1),1,VLOOKUP(B66,'Machinery Input Tables'!$B$6:$AF$121,28,FALSE))*D66,"-")</f>
        <v>3.0229964118042525</v>
      </c>
      <c r="I66" s="132">
        <f t="shared" si="2"/>
        <v>8.853375891570062</v>
      </c>
    </row>
    <row r="67" spans="2:9">
      <c r="B67" s="129" t="s">
        <v>846</v>
      </c>
      <c r="C67" s="129" t="s">
        <v>693</v>
      </c>
      <c r="D67" s="130">
        <v>0.03</v>
      </c>
      <c r="E67" s="131">
        <f>IFERROR(IF(ISBLANK(C67),"",IF(OR(ISBLANK(B67),IFERROR(VLOOKUP(B67,'Machinery Input Tables'!$B$6:$AF$121,13,FALSE),"")='Machinery Input Tables'!$N$128),1,VLOOKUP(B67,'Machinery Input Tables'!$B$6:$AF$121,28,FALSE))*VLOOKUP(C67,'Machinery Input Tables'!$AH$6:$BA$32,19,FALSE))*D67,"-")</f>
        <v>0.36959999999999993</v>
      </c>
      <c r="F67" s="131">
        <f>IFERROR(IF(AND(ISBLANK(B67)*ISBLANK(C67)),"",IF(ISBLANK(B67),1,IF(VLOOKUP(B67,'Machinery Input Tables'!$B$6:$AF$121,13,FALSE)='Machinery Input Tables'!$N$128,VLOOKUP(B67,'Machinery Input Tables'!$B$6:$AF$121,17,FALSE),VLOOKUP(B67,'Machinery Input Tables'!$B$6:$AF$121,28,FALSE))))*D67,"-")</f>
        <v>3.4499999999999996E-2</v>
      </c>
      <c r="G67" s="132">
        <f>IFERROR(IF(ISBLANK(C67),"",E67*'Machinery Input Tables'!$BP$10+F67*'Machinery Input Tables'!$BP$6+(VLOOKUP(C67,'Machinery Input Tables'!$AH$6:$BA$32,18,FALSE)*IF(IFERROR(VLOOKUP(B67,'Machinery Input Tables'!$B$6:$AF$121,13,FALSE)='Machinery Input Tables'!$N$128,1),1,VLOOKUP(B67,'Machinery Input Tables'!$B$6:$AF$121,28,FALSE))+IFERROR(VLOOKUP(B67,'Machinery Input Tables'!$B$6:$AF$121,27,FALSE),0))*D67),"-")</f>
        <v>3.2280993039057222</v>
      </c>
      <c r="H67" s="132">
        <f>IFERROR((IFERROR(VLOOKUP(B67,'Machinery Input Tables'!$B$6:$AF$121,24,FALSE),0)+VLOOKUP(C67,'Machinery Input Tables'!$AH$6:$BA$32,20,FALSE))*IF(IFERROR(VLOOKUP(B67,'Machinery Input Tables'!$B$6:$AF$121,13,FALSE)='Machinery Input Tables'!$N$128,1),1,VLOOKUP(B67,'Machinery Input Tables'!$B$6:$AF$121,28,FALSE))*D67,"-")</f>
        <v>3.9841700808568095</v>
      </c>
      <c r="I67" s="132">
        <f t="shared" si="2"/>
        <v>7.2122693847625321</v>
      </c>
    </row>
    <row r="68" spans="2:9">
      <c r="B68" s="129" t="s">
        <v>904</v>
      </c>
      <c r="C68" s="129" t="s">
        <v>804</v>
      </c>
      <c r="D68" s="130">
        <v>0.02</v>
      </c>
      <c r="E68" s="131">
        <f>IFERROR(IF(ISBLANK(C68),"",IF(OR(ISBLANK(B68),IFERROR(VLOOKUP(B68,'Machinery Input Tables'!$B$6:$AF$121,13,FALSE),"")='Machinery Input Tables'!$N$128),1,VLOOKUP(B68,'Machinery Input Tables'!$B$6:$AF$121,28,FALSE))*VLOOKUP(C68,'Machinery Input Tables'!$AH$6:$BA$32,19,FALSE))*D68,"-")</f>
        <v>0.1144</v>
      </c>
      <c r="F68" s="131">
        <f>IFERROR(IF(AND(ISBLANK(B68)*ISBLANK(C68)),"",IF(ISBLANK(B68),1,IF(VLOOKUP(B68,'Machinery Input Tables'!$B$6:$AF$121,13,FALSE)='Machinery Input Tables'!$N$128,VLOOKUP(B68,'Machinery Input Tables'!$B$6:$AF$121,17,FALSE),VLOOKUP(B68,'Machinery Input Tables'!$B$6:$AF$121,28,FALSE))))*D68,"-")</f>
        <v>2.1000000000000001E-2</v>
      </c>
      <c r="G68" s="132">
        <f>IFERROR(IF(ISBLANK(C68),"",E68*'Machinery Input Tables'!$BP$10+F68*'Machinery Input Tables'!$BP$6+(VLOOKUP(C68,'Machinery Input Tables'!$AH$6:$BA$32,18,FALSE)*IF(IFERROR(VLOOKUP(B68,'Machinery Input Tables'!$B$6:$AF$121,13,FALSE)='Machinery Input Tables'!$N$128,1),1,VLOOKUP(B68,'Machinery Input Tables'!$B$6:$AF$121,28,FALSE))+IFERROR(VLOOKUP(B68,'Machinery Input Tables'!$B$6:$AF$121,27,FALSE),0))*D68),"-")</f>
        <v>1.1412669275522791</v>
      </c>
      <c r="H68" s="132">
        <f>IFERROR((IFERROR(VLOOKUP(B68,'Machinery Input Tables'!$B$6:$AF$121,24,FALSE),0)+VLOOKUP(C68,'Machinery Input Tables'!$AH$6:$BA$32,20,FALSE))*IF(IFERROR(VLOOKUP(B68,'Machinery Input Tables'!$B$6:$AF$121,13,FALSE)='Machinery Input Tables'!$N$128,1),1,VLOOKUP(B68,'Machinery Input Tables'!$B$6:$AF$121,28,FALSE))*D68,"-")</f>
        <v>0.88121258762975607</v>
      </c>
      <c r="I68" s="132">
        <f t="shared" si="2"/>
        <v>2.0224795151820354</v>
      </c>
    </row>
    <row r="69" spans="2:9">
      <c r="B69" s="129"/>
      <c r="C69" s="129" t="s">
        <v>695</v>
      </c>
      <c r="D69" s="130">
        <v>0.15</v>
      </c>
      <c r="E69" s="131">
        <f>IFERROR(IF(ISBLANK(C69),"",IF(OR(ISBLANK(B69),IFERROR(VLOOKUP(B69,'Machinery Input Tables'!$B$6:$AF$121,13,FALSE),"")='Machinery Input Tables'!$N$128),1,VLOOKUP(B69,'Machinery Input Tables'!$B$6:$AF$121,28,FALSE))*VLOOKUP(C69,'Machinery Input Tables'!$AH$6:$BA$32,19,FALSE))*D69,"-")</f>
        <v>0.44999999999999996</v>
      </c>
      <c r="F69" s="131">
        <f>IFERROR(IF(AND(ISBLANK(B69)*ISBLANK(C69)),"",IF(ISBLANK(B69),1,IF(VLOOKUP(B69,'Machinery Input Tables'!$B$6:$AF$121,13,FALSE)='Machinery Input Tables'!$N$128,VLOOKUP(B69,'Machinery Input Tables'!$B$6:$AF$121,17,FALSE),VLOOKUP(B69,'Machinery Input Tables'!$B$6:$AF$121,28,FALSE))))*D69,"-")</f>
        <v>0.15</v>
      </c>
      <c r="G69" s="132">
        <f>IFERROR(IF(ISBLANK(C69),"",E69*'Machinery Input Tables'!$BP$10+F69*'Machinery Input Tables'!$BP$6+(VLOOKUP(C69,'Machinery Input Tables'!$AH$6:$BA$32,18,FALSE)*IF(IFERROR(VLOOKUP(B69,'Machinery Input Tables'!$B$6:$AF$121,13,FALSE)='Machinery Input Tables'!$N$128,1),1,VLOOKUP(B69,'Machinery Input Tables'!$B$6:$AF$121,28,FALSE))+IFERROR(VLOOKUP(B69,'Machinery Input Tables'!$B$6:$AF$121,27,FALSE),0))*D69),"-")</f>
        <v>7.2299999999999995</v>
      </c>
      <c r="H69" s="132">
        <f>IFERROR((IFERROR(VLOOKUP(B69,'Machinery Input Tables'!$B$6:$AF$121,24,FALSE),0)+VLOOKUP(C69,'Machinery Input Tables'!$AH$6:$BA$32,20,FALSE))*IF(IFERROR(VLOOKUP(B69,'Machinery Input Tables'!$B$6:$AF$121,13,FALSE)='Machinery Input Tables'!$N$128,1),1,VLOOKUP(B69,'Machinery Input Tables'!$B$6:$AF$121,28,FALSE))*D69,"-")</f>
        <v>2.9778587419445004</v>
      </c>
      <c r="I69" s="132">
        <f t="shared" si="2"/>
        <v>10.2078587419445</v>
      </c>
    </row>
    <row r="70" spans="2:9">
      <c r="B70" s="129"/>
      <c r="C70" s="129"/>
      <c r="D70" s="130"/>
      <c r="E70" s="131" t="str">
        <f>IFERROR(IF(ISBLANK(C70),"",IF(OR(ISBLANK(B70),IFERROR(VLOOKUP(B70,'Machinery Input Tables'!$B$6:$AF$121,13,FALSE),"")='Machinery Input Tables'!$N$128),1,VLOOKUP(B70,'Machinery Input Tables'!$B$6:$AF$121,28,FALSE))*VLOOKUP(C70,'Machinery Input Tables'!$AH$6:$BA$32,19,FALSE))*D70,"-")</f>
        <v>-</v>
      </c>
      <c r="F70" s="131" t="str">
        <f>IFERROR(IF(AND(ISBLANK(B70)*ISBLANK(C70)),"",IF(ISBLANK(B70),1,IF(VLOOKUP(B70,'Machinery Input Tables'!$B$6:$AF$121,13,FALSE)='Machinery Input Tables'!$N$128,VLOOKUP(B70,'Machinery Input Tables'!$B$6:$AF$121,17,FALSE),VLOOKUP(B70,'Machinery Input Tables'!$B$6:$AF$121,28,FALSE))))*D70,"-")</f>
        <v>-</v>
      </c>
      <c r="G70" s="132" t="str">
        <f>IFERROR(IF(ISBLANK(C70),"",E70*'Machinery Input Tables'!$BP$10+F70*'Machinery Input Tables'!$BP$6+(VLOOKUP(C70,'Machinery Input Tables'!$AH$6:$BA$32,18,FALSE)*IF(IFERROR(VLOOKUP(B70,'Machinery Input Tables'!$B$6:$AF$121,13,FALSE)='Machinery Input Tables'!$N$128,1),1,VLOOKUP(B70,'Machinery Input Tables'!$B$6:$AF$121,28,FALSE))+IFERROR(VLOOKUP(B70,'Machinery Input Tables'!$B$6:$AF$121,27,FALSE),0))*D70),"-")</f>
        <v/>
      </c>
      <c r="H70" s="132" t="str">
        <f>IFERROR((IFERROR(VLOOKUP(B70,'Machinery Input Tables'!$B$6:$AF$121,24,FALSE),0)+VLOOKUP(C70,'Machinery Input Tables'!$AH$6:$BA$32,20,FALSE))*IF(IFERROR(VLOOKUP(B70,'Machinery Input Tables'!$B$6:$AF$121,13,FALSE)='Machinery Input Tables'!$N$128,1),1,VLOOKUP(B70,'Machinery Input Tables'!$B$6:$AF$121,28,FALSE))*D70,"-")</f>
        <v>-</v>
      </c>
      <c r="I70" s="132">
        <f t="shared" si="2"/>
        <v>0</v>
      </c>
    </row>
    <row r="71" spans="2:9">
      <c r="B71" s="129"/>
      <c r="C71" s="129"/>
      <c r="D71" s="130"/>
      <c r="E71" s="131" t="str">
        <f>IFERROR(IF(ISBLANK(C71),"",IF(OR(ISBLANK(B71),IFERROR(VLOOKUP(B71,'Machinery Input Tables'!$B$6:$AF$121,13,FALSE),"")='Machinery Input Tables'!$N$128),1,VLOOKUP(B71,'Machinery Input Tables'!$B$6:$AF$121,28,FALSE))*VLOOKUP(C71,'Machinery Input Tables'!$AH$6:$BA$32,19,FALSE))*D71,"-")</f>
        <v>-</v>
      </c>
      <c r="F71" s="131" t="str">
        <f>IFERROR(IF(AND(ISBLANK(B71)*ISBLANK(C71)),"",IF(ISBLANK(B71),1,IF(VLOOKUP(B71,'Machinery Input Tables'!$B$6:$AF$121,13,FALSE)='Machinery Input Tables'!$N$128,VLOOKUP(B71,'Machinery Input Tables'!$B$6:$AF$121,17,FALSE),VLOOKUP(B71,'Machinery Input Tables'!$B$6:$AF$121,28,FALSE))))*D71,"-")</f>
        <v>-</v>
      </c>
      <c r="G71" s="132" t="str">
        <f>IFERROR(IF(ISBLANK(C71),"",E71*'Machinery Input Tables'!$BP$10+F71*'Machinery Input Tables'!$BP$6+(VLOOKUP(C71,'Machinery Input Tables'!$AH$6:$BA$32,18,FALSE)*IF(IFERROR(VLOOKUP(B71,'Machinery Input Tables'!$B$6:$AF$121,13,FALSE)='Machinery Input Tables'!$N$128,1),1,VLOOKUP(B71,'Machinery Input Tables'!$B$6:$AF$121,28,FALSE))+IFERROR(VLOOKUP(B71,'Machinery Input Tables'!$B$6:$AF$121,27,FALSE),0))*D71),"-")</f>
        <v/>
      </c>
      <c r="H71" s="132" t="str">
        <f>IFERROR((IFERROR(VLOOKUP(B71,'Machinery Input Tables'!$B$6:$AF$121,24,FALSE),0)+VLOOKUP(C71,'Machinery Input Tables'!$AH$6:$BA$32,20,FALSE))*IF(IFERROR(VLOOKUP(B71,'Machinery Input Tables'!$B$6:$AF$121,13,FALSE)='Machinery Input Tables'!$N$128,1),1,VLOOKUP(B71,'Machinery Input Tables'!$B$6:$AF$121,28,FALSE))*D71,"-")</f>
        <v>-</v>
      </c>
      <c r="I71" s="132">
        <f t="shared" si="2"/>
        <v>0</v>
      </c>
    </row>
    <row r="72" spans="2:9">
      <c r="B72" s="129"/>
      <c r="C72" s="129"/>
      <c r="D72" s="130"/>
      <c r="E72" s="131" t="str">
        <f>IFERROR(IF(ISBLANK(C72),"",IF(OR(ISBLANK(B72),IFERROR(VLOOKUP(B72,'Machinery Input Tables'!$B$6:$AF$121,13,FALSE),"")='Machinery Input Tables'!$N$128),1,VLOOKUP(B72,'Machinery Input Tables'!$B$6:$AF$121,28,FALSE))*VLOOKUP(C72,'Machinery Input Tables'!$AH$6:$BA$32,19,FALSE))*D72,"-")</f>
        <v>-</v>
      </c>
      <c r="F72" s="131" t="str">
        <f>IFERROR(IF(AND(ISBLANK(B72)*ISBLANK(C72)),"",IF(ISBLANK(B72),1,IF(VLOOKUP(B72,'Machinery Input Tables'!$B$6:$AF$121,13,FALSE)='Machinery Input Tables'!$N$128,VLOOKUP(B72,'Machinery Input Tables'!$B$6:$AF$121,17,FALSE),VLOOKUP(B72,'Machinery Input Tables'!$B$6:$AF$121,28,FALSE))))*D72,"-")</f>
        <v>-</v>
      </c>
      <c r="G72" s="132" t="str">
        <f>IFERROR(IF(ISBLANK(C72),"",E72*'Machinery Input Tables'!$BP$10+F72*'Machinery Input Tables'!$BP$6+(VLOOKUP(C72,'Machinery Input Tables'!$AH$6:$BA$32,18,FALSE)*IF(IFERROR(VLOOKUP(B72,'Machinery Input Tables'!$B$6:$AF$121,13,FALSE)='Machinery Input Tables'!$N$128,1),1,VLOOKUP(B72,'Machinery Input Tables'!$B$6:$AF$121,28,FALSE))+IFERROR(VLOOKUP(B72,'Machinery Input Tables'!$B$6:$AF$121,27,FALSE),0))*D72),"-")</f>
        <v/>
      </c>
      <c r="H72" s="132" t="str">
        <f>IFERROR((IFERROR(VLOOKUP(B72,'Machinery Input Tables'!$B$6:$AF$121,24,FALSE),0)+VLOOKUP(C72,'Machinery Input Tables'!$AH$6:$BA$32,20,FALSE))*IF(IFERROR(VLOOKUP(B72,'Machinery Input Tables'!$B$6:$AF$121,13,FALSE)='Machinery Input Tables'!$N$128,1),1,VLOOKUP(B72,'Machinery Input Tables'!$B$6:$AF$121,28,FALSE))*D72,"-")</f>
        <v>-</v>
      </c>
      <c r="I72" s="132">
        <f t="shared" si="2"/>
        <v>0</v>
      </c>
    </row>
    <row r="73" spans="2:9">
      <c r="B73" s="133"/>
      <c r="C73" s="133"/>
      <c r="D73" s="134"/>
      <c r="E73" s="135" t="str">
        <f>IFERROR(IF(ISBLANK(C73),"",IF(OR(ISBLANK(B73),IFERROR(VLOOKUP(B73,'Machinery Input Tables'!$B$6:$AF$121,13,FALSE),"")='Machinery Input Tables'!$N$128),1,VLOOKUP(B73,'Machinery Input Tables'!$B$6:$AF$121,28,FALSE))*VLOOKUP(C73,'Machinery Input Tables'!$AH$6:$BA$32,19,FALSE))*D73,"-")</f>
        <v>-</v>
      </c>
      <c r="F73" s="135" t="str">
        <f>IFERROR(IF(AND(ISBLANK(B73)*ISBLANK(C73)),"",IF(ISBLANK(B73),1,IF(VLOOKUP(B73,'Machinery Input Tables'!$B$6:$AF$121,13,FALSE)='Machinery Input Tables'!$N$128,VLOOKUP(B73,'Machinery Input Tables'!$B$6:$AF$121,17,FALSE),VLOOKUP(B73,'Machinery Input Tables'!$B$6:$AF$121,28,FALSE))))*D73,"-")</f>
        <v>-</v>
      </c>
      <c r="G73" s="136" t="str">
        <f>IFERROR(IF(ISBLANK(C73),"",E73*'Machinery Input Tables'!$BP$10+F73*'Machinery Input Tables'!$BP$6+(VLOOKUP(C73,'Machinery Input Tables'!$AH$6:$BA$32,18,FALSE)*IF(IFERROR(VLOOKUP(B73,'Machinery Input Tables'!$B$6:$AF$121,13,FALSE)='Machinery Input Tables'!$N$128,1),1,VLOOKUP(B73,'Machinery Input Tables'!$B$6:$AF$121,28,FALSE))+IFERROR(VLOOKUP(B73,'Machinery Input Tables'!$B$6:$AF$121,27,FALSE),0))*D73),"-")</f>
        <v/>
      </c>
      <c r="H73" s="136" t="str">
        <f>IFERROR((IFERROR(VLOOKUP(B73,'Machinery Input Tables'!$B$6:$AF$121,24,FALSE),0)+VLOOKUP(C73,'Machinery Input Tables'!$AH$6:$BA$32,20,FALSE))*IF(IFERROR(VLOOKUP(B73,'Machinery Input Tables'!$B$6:$AF$121,13,FALSE)='Machinery Input Tables'!$N$128,1),1,VLOOKUP(B73,'Machinery Input Tables'!$B$6:$AF$121,28,FALSE))*D73,"-")</f>
        <v>-</v>
      </c>
      <c r="I73" s="136">
        <f t="shared" si="2"/>
        <v>0</v>
      </c>
    </row>
    <row r="74" spans="2:9">
      <c r="B74" s="126"/>
      <c r="C74" s="137" t="s">
        <v>19</v>
      </c>
      <c r="D74" s="138"/>
      <c r="E74" s="139">
        <f>SUM(E63:E73)</f>
        <v>3.6780689102564104</v>
      </c>
      <c r="F74" s="139">
        <f t="shared" ref="F74:I74" si="3">SUM(F63:F73)</f>
        <v>0.4114326923076923</v>
      </c>
      <c r="G74" s="140">
        <f t="shared" si="3"/>
        <v>44.790849601582416</v>
      </c>
      <c r="H74" s="140">
        <f t="shared" si="3"/>
        <v>44.965713012640613</v>
      </c>
      <c r="I74" s="140">
        <f t="shared" si="3"/>
        <v>89.756562614223057</v>
      </c>
    </row>
    <row r="75" spans="2:9">
      <c r="B75" s="141" t="s">
        <v>874</v>
      </c>
      <c r="C75" s="72"/>
      <c r="D75" s="72"/>
      <c r="E75" s="72"/>
      <c r="F75" s="72"/>
      <c r="G75" s="72"/>
      <c r="H75" s="72"/>
    </row>
    <row r="76" spans="2:9">
      <c r="B76" s="141" t="s">
        <v>875</v>
      </c>
      <c r="C76" s="72"/>
      <c r="D76" s="72"/>
      <c r="E76" s="72"/>
      <c r="F76" s="72"/>
      <c r="G76" s="72"/>
      <c r="H76" s="72"/>
    </row>
    <row r="77" spans="2:9">
      <c r="B77" s="72"/>
      <c r="C77" s="72"/>
      <c r="D77" s="72"/>
      <c r="E77" s="72"/>
      <c r="F77" s="72"/>
      <c r="G77" s="72"/>
      <c r="H77" s="72"/>
    </row>
    <row r="78" spans="2:9" hidden="1">
      <c r="B78" s="72"/>
      <c r="C78" s="72"/>
      <c r="D78" s="72"/>
      <c r="E78" s="72"/>
      <c r="F78" s="72"/>
      <c r="G78" s="72"/>
      <c r="H78" s="72"/>
    </row>
    <row r="79" spans="2:9" hidden="1">
      <c r="H79" s="72"/>
    </row>
    <row r="80" spans="2:9" hidden="1">
      <c r="H80" s="72"/>
    </row>
    <row r="81" spans="2:8" hidden="1">
      <c r="H81" s="72"/>
    </row>
    <row r="82" spans="2:8" hidden="1">
      <c r="H82" s="72"/>
    </row>
    <row r="83" spans="2:8" hidden="1">
      <c r="H83" s="72"/>
    </row>
    <row r="84" spans="2:8" hidden="1">
      <c r="H84" s="72"/>
    </row>
    <row r="85" spans="2:8" hidden="1">
      <c r="H85" s="72"/>
    </row>
    <row r="86" spans="2:8" hidden="1">
      <c r="H86" s="72"/>
    </row>
    <row r="87" spans="2:8" hidden="1">
      <c r="H87" s="72"/>
    </row>
    <row r="88" spans="2:8" hidden="1">
      <c r="H88" s="72"/>
    </row>
    <row r="89" spans="2:8" hidden="1">
      <c r="B89" s="72"/>
      <c r="C89" s="72"/>
      <c r="D89" s="72"/>
      <c r="E89" s="74" t="s">
        <v>803</v>
      </c>
      <c r="F89" s="142">
        <f>F47</f>
        <v>-8.1437649122803304</v>
      </c>
      <c r="G89" s="72"/>
      <c r="H89" s="72"/>
    </row>
    <row r="90" spans="2:8" hidden="1">
      <c r="B90" s="72"/>
      <c r="C90" s="72"/>
      <c r="D90" s="72"/>
      <c r="E90" s="72"/>
      <c r="F90" s="72"/>
      <c r="G90" s="72"/>
      <c r="H90" s="72"/>
    </row>
    <row r="91" spans="2:8" hidden="1">
      <c r="H91" s="72"/>
    </row>
    <row r="92" spans="2:8" hidden="1">
      <c r="H92" s="72"/>
    </row>
    <row r="93" spans="2:8" hidden="1">
      <c r="H93" s="72"/>
    </row>
    <row r="94" spans="2:8" hidden="1">
      <c r="H94" s="72"/>
    </row>
    <row r="105" spans="8:8" hidden="1">
      <c r="H105" s="72"/>
    </row>
    <row r="106" spans="8:8" hidden="1">
      <c r="H106" s="72"/>
    </row>
    <row r="934" spans="2:3" hidden="1">
      <c r="B934" s="3" t="s">
        <v>41</v>
      </c>
    </row>
    <row r="935" spans="2:3" hidden="1">
      <c r="B935" s="3" t="s">
        <v>42</v>
      </c>
      <c r="C935" s="3">
        <v>5</v>
      </c>
    </row>
    <row r="936" spans="2:3" hidden="1">
      <c r="B936" s="3" t="s">
        <v>43</v>
      </c>
      <c r="C936" s="3">
        <v>1</v>
      </c>
    </row>
    <row r="937" spans="2:3" hidden="1">
      <c r="B937" s="3" t="s">
        <v>44</v>
      </c>
      <c r="C937" s="3">
        <v>1</v>
      </c>
    </row>
    <row r="938" spans="2:3" hidden="1">
      <c r="B938" s="3" t="s">
        <v>45</v>
      </c>
      <c r="C938" s="3">
        <v>2</v>
      </c>
    </row>
    <row r="939" spans="2:3" hidden="1">
      <c r="B939" s="3" t="s">
        <v>46</v>
      </c>
      <c r="C939" s="3">
        <v>1</v>
      </c>
    </row>
    <row r="940" spans="2:3" hidden="1">
      <c r="B940" s="3" t="s">
        <v>47</v>
      </c>
      <c r="C940" s="3">
        <v>0</v>
      </c>
    </row>
    <row r="941" spans="2:3" hidden="1">
      <c r="B941" s="3" t="s">
        <v>48</v>
      </c>
      <c r="C941" s="3">
        <v>0</v>
      </c>
    </row>
    <row r="942" spans="2:3" hidden="1">
      <c r="B942" s="3" t="s">
        <v>49</v>
      </c>
      <c r="C942" s="3">
        <v>0</v>
      </c>
    </row>
    <row r="943" spans="2:3" hidden="1">
      <c r="B943" s="3" t="s">
        <v>50</v>
      </c>
      <c r="C943" s="3">
        <v>0</v>
      </c>
    </row>
    <row r="944" spans="2:3" hidden="1">
      <c r="B944" s="3" t="s">
        <v>51</v>
      </c>
      <c r="C944" s="3">
        <v>0</v>
      </c>
    </row>
    <row r="945" spans="2:3" hidden="1">
      <c r="B945" s="3" t="s">
        <v>52</v>
      </c>
      <c r="C945" s="3">
        <v>0</v>
      </c>
    </row>
    <row r="946" spans="2:3" hidden="1">
      <c r="B946" s="3" t="s">
        <v>53</v>
      </c>
      <c r="C946" s="3" t="b">
        <v>1</v>
      </c>
    </row>
    <row r="947" spans="2:3" hidden="1">
      <c r="B947" s="3" t="s">
        <v>54</v>
      </c>
      <c r="C947" s="3">
        <v>0</v>
      </c>
    </row>
    <row r="948" spans="2:3" hidden="1">
      <c r="B948" s="3" t="s">
        <v>55</v>
      </c>
      <c r="C948" s="3" t="b">
        <v>1</v>
      </c>
    </row>
    <row r="949" spans="2:3" hidden="1">
      <c r="B949" s="3" t="s">
        <v>56</v>
      </c>
      <c r="C949" s="3">
        <v>0</v>
      </c>
    </row>
    <row r="950" spans="2:3" hidden="1">
      <c r="B950" s="3" t="s">
        <v>57</v>
      </c>
      <c r="C950" s="3">
        <v>0</v>
      </c>
    </row>
    <row r="951" spans="2:3" hidden="1">
      <c r="B951" s="3" t="s">
        <v>58</v>
      </c>
      <c r="C951" s="3" t="b">
        <v>1</v>
      </c>
    </row>
    <row r="952" spans="2:3" hidden="1">
      <c r="B952" s="3" t="s">
        <v>59</v>
      </c>
      <c r="C952" s="3">
        <v>0</v>
      </c>
    </row>
    <row r="953" spans="2:3" hidden="1">
      <c r="B953" s="3" t="s">
        <v>60</v>
      </c>
      <c r="C953" s="3">
        <v>0</v>
      </c>
    </row>
    <row r="954" spans="2:3" hidden="1">
      <c r="B954" s="3" t="s">
        <v>61</v>
      </c>
      <c r="C954" s="3">
        <v>0</v>
      </c>
    </row>
    <row r="955" spans="2:3" hidden="1">
      <c r="B955" s="3" t="s">
        <v>62</v>
      </c>
      <c r="C955" s="3">
        <v>0</v>
      </c>
    </row>
    <row r="956" spans="2:3" hidden="1">
      <c r="B956" s="3" t="s">
        <v>63</v>
      </c>
      <c r="C956" s="3" t="s">
        <v>358</v>
      </c>
    </row>
    <row r="957" spans="2:3" hidden="1">
      <c r="B957" s="3" t="s">
        <v>64</v>
      </c>
      <c r="C957" s="3">
        <v>100</v>
      </c>
    </row>
    <row r="958" spans="2:3" hidden="1">
      <c r="B958" s="3" t="s">
        <v>65</v>
      </c>
      <c r="C958" s="3">
        <v>25</v>
      </c>
    </row>
    <row r="959" spans="2:3" hidden="1">
      <c r="B959" s="3" t="s">
        <v>66</v>
      </c>
      <c r="C959" s="3">
        <v>9</v>
      </c>
    </row>
    <row r="960" spans="2:3" hidden="1">
      <c r="B960" s="3" t="s">
        <v>67</v>
      </c>
      <c r="C960" s="3">
        <v>0</v>
      </c>
    </row>
    <row r="961" spans="2:3" hidden="1">
      <c r="B961" s="3" t="s">
        <v>68</v>
      </c>
      <c r="C961" s="3">
        <v>0</v>
      </c>
    </row>
    <row r="962" spans="2:3" hidden="1">
      <c r="B962" s="3" t="s">
        <v>69</v>
      </c>
      <c r="C962" s="3">
        <v>0</v>
      </c>
    </row>
    <row r="963" spans="2:3" hidden="1">
      <c r="B963" s="3" t="s">
        <v>70</v>
      </c>
      <c r="C963" s="3">
        <v>0</v>
      </c>
    </row>
    <row r="964" spans="2:3" hidden="1">
      <c r="B964" s="3" t="s">
        <v>71</v>
      </c>
      <c r="C964" s="3">
        <v>0</v>
      </c>
    </row>
    <row r="965" spans="2:3" hidden="1">
      <c r="B965" s="3" t="s">
        <v>72</v>
      </c>
      <c r="C965" s="3">
        <v>60</v>
      </c>
    </row>
    <row r="966" spans="2:3" hidden="1">
      <c r="B966" s="3" t="s">
        <v>73</v>
      </c>
      <c r="C966" s="3">
        <v>0</v>
      </c>
    </row>
    <row r="967" spans="2:3" hidden="1">
      <c r="B967" s="3" t="s">
        <v>74</v>
      </c>
      <c r="C967" s="3">
        <v>0</v>
      </c>
    </row>
    <row r="968" spans="2:3" hidden="1">
      <c r="B968" s="3" t="s">
        <v>75</v>
      </c>
      <c r="C968" s="3">
        <v>0</v>
      </c>
    </row>
    <row r="969" spans="2:3" hidden="1">
      <c r="B969" s="3" t="s">
        <v>76</v>
      </c>
      <c r="C969" s="3">
        <v>0</v>
      </c>
    </row>
    <row r="970" spans="2:3" hidden="1">
      <c r="B970" s="3" t="s">
        <v>77</v>
      </c>
      <c r="C970" s="3">
        <v>0</v>
      </c>
    </row>
    <row r="971" spans="2:3" hidden="1">
      <c r="B971" s="3" t="s">
        <v>78</v>
      </c>
      <c r="C971" s="3">
        <v>200000</v>
      </c>
    </row>
    <row r="972" spans="2:3" hidden="1">
      <c r="B972" s="3" t="s">
        <v>79</v>
      </c>
      <c r="C972" s="3">
        <v>0</v>
      </c>
    </row>
    <row r="973" spans="2:3" hidden="1">
      <c r="B973" s="3" t="s">
        <v>80</v>
      </c>
      <c r="C973" s="3">
        <v>0</v>
      </c>
    </row>
    <row r="974" spans="2:3" hidden="1">
      <c r="B974" s="3" t="s">
        <v>81</v>
      </c>
      <c r="C974" s="3">
        <v>0</v>
      </c>
    </row>
    <row r="975" spans="2:3" hidden="1">
      <c r="B975" s="3" t="s">
        <v>82</v>
      </c>
      <c r="C975" s="3">
        <v>0</v>
      </c>
    </row>
    <row r="976" spans="2:3" hidden="1">
      <c r="B976" s="3" t="s">
        <v>83</v>
      </c>
      <c r="C976" s="3">
        <v>0</v>
      </c>
    </row>
    <row r="977" spans="2:3" hidden="1">
      <c r="B977" s="3" t="s">
        <v>84</v>
      </c>
      <c r="C977" s="3">
        <v>0</v>
      </c>
    </row>
    <row r="978" spans="2:3" hidden="1">
      <c r="B978" s="3" t="s">
        <v>85</v>
      </c>
      <c r="C978" s="3">
        <v>0</v>
      </c>
    </row>
    <row r="979" spans="2:3" hidden="1">
      <c r="B979" s="3" t="s">
        <v>86</v>
      </c>
      <c r="C979" s="3">
        <v>20</v>
      </c>
    </row>
    <row r="980" spans="2:3" hidden="1">
      <c r="B980" s="3" t="s">
        <v>87</v>
      </c>
      <c r="C980" s="3">
        <v>35</v>
      </c>
    </row>
    <row r="981" spans="2:3" hidden="1">
      <c r="B981" s="3" t="s">
        <v>88</v>
      </c>
      <c r="C981" s="3">
        <v>0</v>
      </c>
    </row>
    <row r="982" spans="2:3" hidden="1">
      <c r="B982" s="3" t="s">
        <v>89</v>
      </c>
      <c r="C982" s="3">
        <v>0</v>
      </c>
    </row>
    <row r="983" spans="2:3" hidden="1">
      <c r="B983" s="3" t="s">
        <v>90</v>
      </c>
      <c r="C983" s="3">
        <v>0</v>
      </c>
    </row>
    <row r="984" spans="2:3" hidden="1">
      <c r="B984" s="3" t="s">
        <v>91</v>
      </c>
      <c r="C984" s="3">
        <v>0</v>
      </c>
    </row>
    <row r="985" spans="2:3" hidden="1">
      <c r="B985" s="3" t="s">
        <v>92</v>
      </c>
      <c r="C985" s="3">
        <v>0</v>
      </c>
    </row>
    <row r="986" spans="2:3" hidden="1">
      <c r="B986" s="3" t="s">
        <v>93</v>
      </c>
      <c r="C986" s="3">
        <v>0</v>
      </c>
    </row>
    <row r="987" spans="2:3" hidden="1">
      <c r="B987" s="3" t="s">
        <v>94</v>
      </c>
      <c r="C987" s="3">
        <v>0.49</v>
      </c>
    </row>
    <row r="988" spans="2:3" hidden="1">
      <c r="B988" s="3" t="s">
        <v>95</v>
      </c>
      <c r="C988" s="3">
        <v>0.4</v>
      </c>
    </row>
    <row r="989" spans="2:3" hidden="1">
      <c r="B989" s="3" t="s">
        <v>96</v>
      </c>
      <c r="C989" s="3">
        <v>0</v>
      </c>
    </row>
    <row r="990" spans="2:3" hidden="1">
      <c r="B990" s="3" t="s">
        <v>97</v>
      </c>
      <c r="C990" s="3">
        <v>0</v>
      </c>
    </row>
    <row r="991" spans="2:3" hidden="1">
      <c r="B991" s="3" t="s">
        <v>98</v>
      </c>
      <c r="C991" s="3">
        <v>0</v>
      </c>
    </row>
    <row r="992" spans="2:3" hidden="1">
      <c r="B992" s="3" t="s">
        <v>99</v>
      </c>
      <c r="C992" s="3">
        <v>0</v>
      </c>
    </row>
    <row r="993" spans="2:3" hidden="1">
      <c r="B993" s="3" t="s">
        <v>100</v>
      </c>
      <c r="C993" s="3">
        <v>0</v>
      </c>
    </row>
    <row r="994" spans="2:3" hidden="1">
      <c r="B994" s="3" t="s">
        <v>101</v>
      </c>
      <c r="C994" s="3">
        <v>0</v>
      </c>
    </row>
    <row r="995" spans="2:3" hidden="1">
      <c r="B995" s="3" t="s">
        <v>102</v>
      </c>
      <c r="C995" s="3">
        <v>1</v>
      </c>
    </row>
    <row r="996" spans="2:3" hidden="1">
      <c r="B996" s="3" t="s">
        <v>103</v>
      </c>
      <c r="C996" s="3">
        <v>0</v>
      </c>
    </row>
    <row r="997" spans="2:3" hidden="1">
      <c r="B997" s="3" t="s">
        <v>104</v>
      </c>
      <c r="C997" s="3">
        <v>0</v>
      </c>
    </row>
    <row r="998" spans="2:3" hidden="1">
      <c r="B998" s="3" t="s">
        <v>105</v>
      </c>
      <c r="C998" s="3">
        <v>1</v>
      </c>
    </row>
    <row r="999" spans="2:3" hidden="1">
      <c r="B999" s="3" t="s">
        <v>106</v>
      </c>
      <c r="C999" s="3">
        <v>0</v>
      </c>
    </row>
    <row r="1000" spans="2:3" hidden="1">
      <c r="B1000" s="3" t="s">
        <v>107</v>
      </c>
      <c r="C1000" s="3">
        <v>0</v>
      </c>
    </row>
    <row r="1001" spans="2:3" hidden="1">
      <c r="B1001" s="3" t="s">
        <v>108</v>
      </c>
      <c r="C1001" s="3">
        <v>0</v>
      </c>
    </row>
    <row r="1002" spans="2:3" hidden="1">
      <c r="B1002" s="3" t="s">
        <v>109</v>
      </c>
      <c r="C1002" s="3">
        <v>0</v>
      </c>
    </row>
    <row r="1003" spans="2:3" hidden="1">
      <c r="B1003" s="3" t="s">
        <v>110</v>
      </c>
      <c r="C1003" s="3">
        <v>8.75</v>
      </c>
    </row>
    <row r="1004" spans="2:3" hidden="1">
      <c r="B1004" s="3" t="s">
        <v>111</v>
      </c>
      <c r="C1004" s="3">
        <v>0</v>
      </c>
    </row>
    <row r="1005" spans="2:3" hidden="1">
      <c r="B1005" s="3" t="s">
        <v>112</v>
      </c>
      <c r="C1005" s="3">
        <v>0</v>
      </c>
    </row>
    <row r="1006" spans="2:3" hidden="1">
      <c r="B1006" s="3" t="s">
        <v>113</v>
      </c>
      <c r="C1006" s="3">
        <v>0</v>
      </c>
    </row>
    <row r="1007" spans="2:3" hidden="1">
      <c r="B1007" s="3" t="s">
        <v>114</v>
      </c>
      <c r="C1007" s="3">
        <v>0</v>
      </c>
    </row>
    <row r="1008" spans="2:3" hidden="1">
      <c r="B1008" s="3" t="s">
        <v>115</v>
      </c>
      <c r="C1008" s="3">
        <v>0</v>
      </c>
    </row>
    <row r="1009" spans="2:3" hidden="1">
      <c r="B1009" s="3" t="s">
        <v>116</v>
      </c>
      <c r="C1009" s="3">
        <v>0</v>
      </c>
    </row>
    <row r="1010" spans="2:3" hidden="1">
      <c r="B1010" s="3" t="s">
        <v>117</v>
      </c>
      <c r="C1010" s="3">
        <v>0</v>
      </c>
    </row>
    <row r="1011" spans="2:3" hidden="1">
      <c r="B1011" s="3" t="s">
        <v>118</v>
      </c>
      <c r="C1011" s="3">
        <v>0</v>
      </c>
    </row>
    <row r="1012" spans="2:3" hidden="1">
      <c r="B1012" s="3" t="s">
        <v>119</v>
      </c>
      <c r="C1012" s="3">
        <v>0</v>
      </c>
    </row>
    <row r="1013" spans="2:3" hidden="1">
      <c r="B1013" s="3" t="s">
        <v>120</v>
      </c>
      <c r="C1013" s="3">
        <v>0</v>
      </c>
    </row>
    <row r="1014" spans="2:3" hidden="1">
      <c r="B1014" s="3" t="s">
        <v>121</v>
      </c>
      <c r="C1014" s="3">
        <v>0</v>
      </c>
    </row>
    <row r="1015" spans="2:3" hidden="1">
      <c r="B1015" s="3" t="s">
        <v>122</v>
      </c>
      <c r="C1015" s="3">
        <v>0</v>
      </c>
    </row>
    <row r="1016" spans="2:3" hidden="1">
      <c r="B1016" s="3" t="s">
        <v>123</v>
      </c>
      <c r="C1016" s="3">
        <v>0</v>
      </c>
    </row>
    <row r="1017" spans="2:3" hidden="1">
      <c r="B1017" s="3" t="s">
        <v>124</v>
      </c>
      <c r="C1017" s="3">
        <v>0</v>
      </c>
    </row>
    <row r="1018" spans="2:3" hidden="1">
      <c r="B1018" s="3" t="s">
        <v>125</v>
      </c>
      <c r="C1018" s="3">
        <v>0.5</v>
      </c>
    </row>
    <row r="1019" spans="2:3" hidden="1">
      <c r="B1019" s="3" t="s">
        <v>126</v>
      </c>
      <c r="C1019" s="3">
        <v>13.5</v>
      </c>
    </row>
    <row r="1020" spans="2:3" hidden="1">
      <c r="B1020" s="3" t="s">
        <v>127</v>
      </c>
      <c r="C1020" s="3">
        <v>18</v>
      </c>
    </row>
    <row r="1021" spans="2:3" hidden="1">
      <c r="B1021" s="3" t="s">
        <v>128</v>
      </c>
      <c r="C1021" s="3">
        <v>0</v>
      </c>
    </row>
    <row r="1022" spans="2:3" hidden="1">
      <c r="B1022" s="3" t="s">
        <v>129</v>
      </c>
      <c r="C1022" s="3">
        <v>0</v>
      </c>
    </row>
    <row r="1023" spans="2:3" hidden="1">
      <c r="B1023" s="3" t="s">
        <v>130</v>
      </c>
      <c r="C1023" s="3">
        <v>0</v>
      </c>
    </row>
    <row r="1024" spans="2:3" hidden="1">
      <c r="B1024" s="3" t="s">
        <v>131</v>
      </c>
      <c r="C1024" s="3">
        <v>3600</v>
      </c>
    </row>
    <row r="1025" spans="2:3" hidden="1">
      <c r="B1025" s="3" t="s">
        <v>132</v>
      </c>
      <c r="C1025" s="3">
        <v>0</v>
      </c>
    </row>
    <row r="1026" spans="2:3" hidden="1">
      <c r="B1026" s="3" t="s">
        <v>133</v>
      </c>
      <c r="C1026" s="3">
        <v>0</v>
      </c>
    </row>
    <row r="1027" spans="2:3" hidden="1">
      <c r="B1027" s="3" t="s">
        <v>134</v>
      </c>
      <c r="C1027" s="3">
        <v>0</v>
      </c>
    </row>
    <row r="1028" spans="2:3" hidden="1">
      <c r="B1028" s="3" t="s">
        <v>135</v>
      </c>
      <c r="C1028" s="3">
        <v>0</v>
      </c>
    </row>
    <row r="1029" spans="2:3" hidden="1">
      <c r="B1029" s="3" t="s">
        <v>136</v>
      </c>
      <c r="C1029" s="3">
        <v>6</v>
      </c>
    </row>
    <row r="1030" spans="2:3" hidden="1">
      <c r="B1030" s="3" t="s">
        <v>137</v>
      </c>
      <c r="C1030" s="3">
        <v>3.65</v>
      </c>
    </row>
    <row r="1031" spans="2:3" hidden="1">
      <c r="B1031" s="3" t="s">
        <v>138</v>
      </c>
      <c r="C1031" s="3">
        <v>3.38</v>
      </c>
    </row>
    <row r="1032" spans="2:3" hidden="1">
      <c r="B1032" s="3" t="s">
        <v>139</v>
      </c>
      <c r="C1032" s="3">
        <v>0</v>
      </c>
    </row>
    <row r="1033" spans="2:3" hidden="1">
      <c r="B1033" s="3" t="s">
        <v>140</v>
      </c>
      <c r="C1033" s="3">
        <v>0</v>
      </c>
    </row>
    <row r="1034" spans="2:3" hidden="1">
      <c r="B1034" s="3" t="s">
        <v>141</v>
      </c>
      <c r="C1034" s="3">
        <v>0</v>
      </c>
    </row>
    <row r="1035" spans="2:3" hidden="1">
      <c r="B1035" s="3" t="s">
        <v>142</v>
      </c>
      <c r="C1035" s="3">
        <v>0</v>
      </c>
    </row>
    <row r="1036" spans="2:3" hidden="1">
      <c r="B1036" s="3" t="s">
        <v>143</v>
      </c>
      <c r="C1036" s="3">
        <v>0</v>
      </c>
    </row>
    <row r="1037" spans="2:3" hidden="1">
      <c r="B1037" s="3" t="s">
        <v>144</v>
      </c>
      <c r="C1037" s="3">
        <v>0</v>
      </c>
    </row>
    <row r="1038" spans="2:3" hidden="1">
      <c r="B1038" s="3" t="s">
        <v>145</v>
      </c>
      <c r="C1038" s="3">
        <v>0</v>
      </c>
    </row>
    <row r="1039" spans="2:3" hidden="1">
      <c r="B1039" s="3" t="s">
        <v>146</v>
      </c>
      <c r="C1039" s="3">
        <v>0</v>
      </c>
    </row>
    <row r="1040" spans="2:3" hidden="1">
      <c r="B1040" s="3" t="s">
        <v>147</v>
      </c>
      <c r="C1040" s="3">
        <v>0</v>
      </c>
    </row>
    <row r="1041" spans="2:3" hidden="1">
      <c r="B1041" s="3" t="s">
        <v>148</v>
      </c>
      <c r="C1041" s="3">
        <v>5</v>
      </c>
    </row>
    <row r="1042" spans="2:3" hidden="1">
      <c r="B1042" s="3" t="s">
        <v>149</v>
      </c>
      <c r="C1042" s="3">
        <v>0</v>
      </c>
    </row>
    <row r="1043" spans="2:3" hidden="1">
      <c r="B1043" s="3" t="s">
        <v>150</v>
      </c>
      <c r="C1043" s="3">
        <v>0</v>
      </c>
    </row>
    <row r="1044" spans="2:3" hidden="1">
      <c r="B1044" s="3" t="s">
        <v>151</v>
      </c>
      <c r="C1044" s="3">
        <v>0</v>
      </c>
    </row>
    <row r="1045" spans="2:3" hidden="1">
      <c r="B1045" s="3" t="s">
        <v>152</v>
      </c>
      <c r="C1045" s="3">
        <v>6800</v>
      </c>
    </row>
    <row r="1046" spans="2:3" hidden="1">
      <c r="B1046" s="3" t="s">
        <v>153</v>
      </c>
      <c r="C1046" s="3">
        <v>0</v>
      </c>
    </row>
    <row r="1047" spans="2:3" hidden="1">
      <c r="B1047" s="3" t="s">
        <v>154</v>
      </c>
      <c r="C1047" s="3">
        <v>0</v>
      </c>
    </row>
    <row r="1048" spans="2:3" hidden="1">
      <c r="B1048" s="3" t="s">
        <v>155</v>
      </c>
      <c r="C1048" s="3">
        <v>8500</v>
      </c>
    </row>
    <row r="1049" spans="2:3" hidden="1">
      <c r="B1049" s="3" t="s">
        <v>156</v>
      </c>
      <c r="C1049" s="3">
        <v>0</v>
      </c>
    </row>
    <row r="1050" spans="2:3" hidden="1">
      <c r="B1050" s="3" t="s">
        <v>157</v>
      </c>
      <c r="C1050" s="3">
        <v>15000</v>
      </c>
    </row>
    <row r="1051" spans="2:3" hidden="1">
      <c r="B1051" s="3" t="s">
        <v>158</v>
      </c>
      <c r="C1051" s="3">
        <v>3</v>
      </c>
    </row>
    <row r="1052" spans="2:3" hidden="1">
      <c r="B1052" s="3" t="s">
        <v>159</v>
      </c>
      <c r="C1052" s="3">
        <v>0</v>
      </c>
    </row>
    <row r="1053" spans="2:3" hidden="1">
      <c r="B1053" s="3" t="s">
        <v>160</v>
      </c>
      <c r="C1053" s="3">
        <v>0</v>
      </c>
    </row>
    <row r="1054" spans="2:3" hidden="1">
      <c r="B1054" s="3" t="s">
        <v>161</v>
      </c>
      <c r="C1054" s="3">
        <v>0</v>
      </c>
    </row>
    <row r="1055" spans="2:3" hidden="1">
      <c r="B1055" s="3" t="s">
        <v>162</v>
      </c>
      <c r="C1055" s="3">
        <v>0</v>
      </c>
    </row>
    <row r="1056" spans="2:3" hidden="1">
      <c r="B1056" s="3" t="s">
        <v>163</v>
      </c>
      <c r="C1056" s="3">
        <v>0</v>
      </c>
    </row>
    <row r="1057" spans="2:3" hidden="1">
      <c r="B1057" s="3" t="s">
        <v>164</v>
      </c>
      <c r="C1057" s="3">
        <v>0</v>
      </c>
    </row>
    <row r="1058" spans="2:3" hidden="1">
      <c r="B1058" s="3" t="s">
        <v>165</v>
      </c>
      <c r="C1058" s="3">
        <v>0</v>
      </c>
    </row>
    <row r="1059" spans="2:3" hidden="1">
      <c r="B1059" s="3" t="s">
        <v>166</v>
      </c>
      <c r="C1059" s="3">
        <v>0</v>
      </c>
    </row>
    <row r="1060" spans="2:3" hidden="1">
      <c r="B1060" s="3" t="s">
        <v>167</v>
      </c>
      <c r="C1060" s="3">
        <v>0</v>
      </c>
    </row>
    <row r="1061" spans="2:3" hidden="1">
      <c r="B1061" s="3" t="s">
        <v>168</v>
      </c>
      <c r="C1061" s="3">
        <v>0</v>
      </c>
    </row>
    <row r="1062" spans="2:3" hidden="1">
      <c r="B1062" s="3" t="s">
        <v>169</v>
      </c>
      <c r="C1062" s="3">
        <v>0</v>
      </c>
    </row>
    <row r="1063" spans="2:3" hidden="1">
      <c r="B1063" s="3" t="s">
        <v>170</v>
      </c>
      <c r="C1063" s="3">
        <v>0</v>
      </c>
    </row>
    <row r="1064" spans="2:3" hidden="1">
      <c r="B1064" s="3" t="s">
        <v>171</v>
      </c>
      <c r="C1064" s="3">
        <v>0</v>
      </c>
    </row>
    <row r="1065" spans="2:3" hidden="1">
      <c r="B1065" s="3" t="s">
        <v>172</v>
      </c>
      <c r="C1065" s="3">
        <v>0</v>
      </c>
    </row>
    <row r="1066" spans="2:3" hidden="1">
      <c r="B1066" s="3" t="s">
        <v>173</v>
      </c>
      <c r="C1066" s="3">
        <v>0</v>
      </c>
    </row>
    <row r="1067" spans="2:3" hidden="1">
      <c r="B1067" s="3" t="s">
        <v>174</v>
      </c>
      <c r="C1067" s="3">
        <v>0</v>
      </c>
    </row>
    <row r="1068" spans="2:3" hidden="1">
      <c r="B1068" s="3" t="s">
        <v>175</v>
      </c>
      <c r="C1068" s="3">
        <v>0</v>
      </c>
    </row>
    <row r="1069" spans="2:3" hidden="1">
      <c r="B1069" s="3" t="s">
        <v>176</v>
      </c>
      <c r="C1069" s="3">
        <v>0</v>
      </c>
    </row>
    <row r="1070" spans="2:3" hidden="1">
      <c r="B1070" s="3" t="s">
        <v>177</v>
      </c>
      <c r="C1070" s="3">
        <v>0</v>
      </c>
    </row>
    <row r="1071" spans="2:3" hidden="1">
      <c r="B1071" s="3" t="s">
        <v>178</v>
      </c>
      <c r="C1071" s="3">
        <v>0</v>
      </c>
    </row>
    <row r="1072" spans="2:3" hidden="1">
      <c r="B1072" s="3" t="s">
        <v>179</v>
      </c>
      <c r="C1072" s="3">
        <v>0</v>
      </c>
    </row>
    <row r="1073" spans="2:3" hidden="1">
      <c r="B1073" s="3" t="s">
        <v>180</v>
      </c>
      <c r="C1073" s="3">
        <v>0</v>
      </c>
    </row>
    <row r="1074" spans="2:3" hidden="1">
      <c r="B1074" s="3" t="s">
        <v>181</v>
      </c>
      <c r="C1074" s="3">
        <v>0</v>
      </c>
    </row>
    <row r="1075" spans="2:3" hidden="1">
      <c r="B1075" s="3" t="s">
        <v>182</v>
      </c>
      <c r="C1075" s="3">
        <v>0</v>
      </c>
    </row>
    <row r="1076" spans="2:3" hidden="1">
      <c r="B1076" s="3" t="s">
        <v>183</v>
      </c>
      <c r="C1076" s="3">
        <v>0</v>
      </c>
    </row>
    <row r="1077" spans="2:3" hidden="1">
      <c r="B1077" s="3" t="s">
        <v>184</v>
      </c>
      <c r="C1077" s="3">
        <v>0</v>
      </c>
    </row>
    <row r="1078" spans="2:3" hidden="1">
      <c r="B1078" s="3" t="s">
        <v>185</v>
      </c>
      <c r="C1078" s="3">
        <v>0</v>
      </c>
    </row>
    <row r="1079" spans="2:3" hidden="1">
      <c r="B1079" s="3" t="s">
        <v>186</v>
      </c>
      <c r="C1079" s="3">
        <v>0</v>
      </c>
    </row>
    <row r="1080" spans="2:3" hidden="1">
      <c r="B1080" s="3" t="s">
        <v>187</v>
      </c>
      <c r="C1080" s="3">
        <v>0</v>
      </c>
    </row>
    <row r="1081" spans="2:3" hidden="1">
      <c r="B1081" s="3" t="s">
        <v>188</v>
      </c>
      <c r="C1081" s="3">
        <v>0</v>
      </c>
    </row>
    <row r="1082" spans="2:3" hidden="1">
      <c r="B1082" s="3" t="s">
        <v>189</v>
      </c>
      <c r="C1082" s="3">
        <v>0</v>
      </c>
    </row>
    <row r="1083" spans="2:3" hidden="1">
      <c r="B1083" s="3" t="s">
        <v>190</v>
      </c>
      <c r="C1083" s="3">
        <v>0</v>
      </c>
    </row>
    <row r="1084" spans="2:3" hidden="1">
      <c r="B1084" s="3" t="s">
        <v>191</v>
      </c>
      <c r="C1084" s="3" t="s">
        <v>192</v>
      </c>
    </row>
    <row r="1085" spans="2:3" hidden="1">
      <c r="B1085" s="3" t="s">
        <v>193</v>
      </c>
      <c r="C1085" s="3" t="s">
        <v>194</v>
      </c>
    </row>
    <row r="1086" spans="2:3" hidden="1">
      <c r="B1086" s="3" t="s">
        <v>195</v>
      </c>
      <c r="C1086" s="3" t="s">
        <v>196</v>
      </c>
    </row>
    <row r="1087" spans="2:3" hidden="1">
      <c r="B1087" s="3" t="s">
        <v>197</v>
      </c>
      <c r="C1087" s="3" t="s">
        <v>198</v>
      </c>
    </row>
    <row r="1088" spans="2:3" hidden="1">
      <c r="B1088" s="3" t="s">
        <v>199</v>
      </c>
      <c r="C1088" s="3" t="s">
        <v>200</v>
      </c>
    </row>
    <row r="1089" spans="2:3" hidden="1">
      <c r="B1089" s="3" t="s">
        <v>201</v>
      </c>
      <c r="C1089" s="3" t="s">
        <v>202</v>
      </c>
    </row>
    <row r="1090" spans="2:3" hidden="1">
      <c r="B1090" s="3" t="s">
        <v>203</v>
      </c>
      <c r="C1090" s="3" t="s">
        <v>204</v>
      </c>
    </row>
    <row r="1091" spans="2:3" hidden="1">
      <c r="B1091" s="3" t="s">
        <v>205</v>
      </c>
      <c r="C1091" s="3" t="s">
        <v>206</v>
      </c>
    </row>
    <row r="1092" spans="2:3" hidden="1">
      <c r="B1092" s="3" t="s">
        <v>207</v>
      </c>
      <c r="C1092" s="3" t="s">
        <v>208</v>
      </c>
    </row>
    <row r="1093" spans="2:3" hidden="1">
      <c r="B1093" s="3" t="s">
        <v>209</v>
      </c>
      <c r="C1093" s="3" t="s">
        <v>210</v>
      </c>
    </row>
    <row r="1094" spans="2:3" hidden="1">
      <c r="B1094" s="3" t="s">
        <v>211</v>
      </c>
      <c r="C1094" s="3" t="s">
        <v>212</v>
      </c>
    </row>
    <row r="1095" spans="2:3" hidden="1">
      <c r="B1095" s="3" t="s">
        <v>213</v>
      </c>
      <c r="C1095" s="3" t="s">
        <v>214</v>
      </c>
    </row>
    <row r="1096" spans="2:3" hidden="1">
      <c r="B1096" s="3" t="s">
        <v>215</v>
      </c>
      <c r="C1096" s="3" t="s">
        <v>212</v>
      </c>
    </row>
    <row r="1097" spans="2:3" hidden="1">
      <c r="B1097" s="3" t="s">
        <v>216</v>
      </c>
      <c r="C1097" s="3" t="s">
        <v>204</v>
      </c>
    </row>
    <row r="1098" spans="2:3" hidden="1">
      <c r="B1098" s="3" t="s">
        <v>217</v>
      </c>
      <c r="C1098" s="3" t="s">
        <v>192</v>
      </c>
    </row>
    <row r="1099" spans="2:3" hidden="1">
      <c r="B1099" s="3" t="s">
        <v>218</v>
      </c>
      <c r="C1099" s="3" t="s">
        <v>212</v>
      </c>
    </row>
    <row r="1100" spans="2:3" hidden="1">
      <c r="B1100" s="3" t="s">
        <v>219</v>
      </c>
      <c r="C1100" s="3" t="s">
        <v>212</v>
      </c>
    </row>
    <row r="1101" spans="2:3" hidden="1">
      <c r="B1101" s="3" t="s">
        <v>220</v>
      </c>
      <c r="C1101" s="3" t="s">
        <v>200</v>
      </c>
    </row>
    <row r="1102" spans="2:3" hidden="1">
      <c r="B1102" s="3" t="s">
        <v>221</v>
      </c>
      <c r="C1102" s="3" t="s">
        <v>222</v>
      </c>
    </row>
    <row r="1103" spans="2:3" hidden="1">
      <c r="B1103" s="3" t="s">
        <v>223</v>
      </c>
      <c r="C1103" s="3" t="s">
        <v>196</v>
      </c>
    </row>
    <row r="1104" spans="2:3" hidden="1">
      <c r="B1104" s="3" t="s">
        <v>224</v>
      </c>
      <c r="C1104" s="3" t="s">
        <v>222</v>
      </c>
    </row>
    <row r="1105" spans="2:3" hidden="1">
      <c r="B1105" s="3" t="s">
        <v>225</v>
      </c>
      <c r="C1105" s="3" t="s">
        <v>226</v>
      </c>
    </row>
    <row r="1106" spans="2:3" hidden="1">
      <c r="B1106" s="3" t="s">
        <v>227</v>
      </c>
      <c r="C1106" s="3" t="s">
        <v>228</v>
      </c>
    </row>
    <row r="1107" spans="2:3" hidden="1">
      <c r="B1107" s="3" t="s">
        <v>229</v>
      </c>
      <c r="C1107" s="3" t="s">
        <v>230</v>
      </c>
    </row>
    <row r="1108" spans="2:3" hidden="1">
      <c r="B1108" s="3" t="s">
        <v>231</v>
      </c>
      <c r="C1108" s="3" t="s">
        <v>192</v>
      </c>
    </row>
    <row r="1109" spans="2:3" hidden="1">
      <c r="B1109" s="3" t="s">
        <v>232</v>
      </c>
      <c r="C1109" s="3" t="s">
        <v>200</v>
      </c>
    </row>
    <row r="1110" spans="2:3" hidden="1">
      <c r="B1110" s="3" t="s">
        <v>233</v>
      </c>
      <c r="C1110" s="3" t="s">
        <v>234</v>
      </c>
    </row>
    <row r="1111" spans="2:3" hidden="1">
      <c r="B1111" s="3" t="s">
        <v>235</v>
      </c>
      <c r="C1111" s="3" t="s">
        <v>236</v>
      </c>
    </row>
    <row r="1112" spans="2:3" hidden="1">
      <c r="B1112" s="3" t="s">
        <v>237</v>
      </c>
      <c r="C1112" s="3">
        <v>0</v>
      </c>
    </row>
    <row r="1113" spans="2:3" hidden="1">
      <c r="B1113" s="3" t="s">
        <v>238</v>
      </c>
      <c r="C1113" s="3">
        <v>0</v>
      </c>
    </row>
    <row r="1114" spans="2:3" hidden="1">
      <c r="B1114" s="3" t="s">
        <v>239</v>
      </c>
      <c r="C1114" s="3">
        <v>0</v>
      </c>
    </row>
    <row r="1115" spans="2:3" hidden="1">
      <c r="B1115" s="3" t="s">
        <v>240</v>
      </c>
      <c r="C1115" s="3">
        <v>0</v>
      </c>
    </row>
    <row r="1116" spans="2:3" hidden="1">
      <c r="B1116" s="3" t="s">
        <v>242</v>
      </c>
      <c r="C1116" s="3">
        <v>0</v>
      </c>
    </row>
    <row r="1117" spans="2:3" hidden="1">
      <c r="B1117" s="3" t="s">
        <v>243</v>
      </c>
      <c r="C1117" s="3">
        <v>0</v>
      </c>
    </row>
    <row r="1118" spans="2:3" hidden="1">
      <c r="B1118" s="3" t="s">
        <v>244</v>
      </c>
      <c r="C1118" s="3">
        <v>0</v>
      </c>
    </row>
    <row r="1119" spans="2:3" hidden="1">
      <c r="B1119" s="3" t="s">
        <v>245</v>
      </c>
      <c r="C1119" s="3">
        <v>0</v>
      </c>
    </row>
    <row r="1120" spans="2:3" hidden="1">
      <c r="B1120" s="3" t="s">
        <v>246</v>
      </c>
      <c r="C1120" s="3">
        <v>0</v>
      </c>
    </row>
    <row r="1121" spans="2:3" hidden="1">
      <c r="B1121" s="3" t="s">
        <v>247</v>
      </c>
      <c r="C1121" s="3">
        <v>0</v>
      </c>
    </row>
    <row r="1122" spans="2:3" hidden="1">
      <c r="B1122" s="3" t="s">
        <v>248</v>
      </c>
      <c r="C1122" s="3">
        <v>0</v>
      </c>
    </row>
    <row r="1123" spans="2:3" hidden="1">
      <c r="B1123" s="3" t="s">
        <v>249</v>
      </c>
      <c r="C1123" s="3" t="s">
        <v>250</v>
      </c>
    </row>
    <row r="1124" spans="2:3" hidden="1">
      <c r="B1124" s="3" t="s">
        <v>251</v>
      </c>
      <c r="C1124" s="3">
        <v>0</v>
      </c>
    </row>
    <row r="1125" spans="2:3" hidden="1">
      <c r="B1125" s="3" t="s">
        <v>252</v>
      </c>
      <c r="C1125" s="3">
        <v>0</v>
      </c>
    </row>
    <row r="1126" spans="2:3" hidden="1">
      <c r="B1126" s="3" t="s">
        <v>253</v>
      </c>
      <c r="C1126" s="3">
        <v>0</v>
      </c>
    </row>
    <row r="1127" spans="2:3" hidden="1">
      <c r="B1127" s="3" t="s">
        <v>254</v>
      </c>
      <c r="C1127" s="3">
        <v>0</v>
      </c>
    </row>
    <row r="1128" spans="2:3" hidden="1">
      <c r="B1128" s="3" t="s">
        <v>255</v>
      </c>
      <c r="C1128" s="3">
        <v>0</v>
      </c>
    </row>
    <row r="1129" spans="2:3" hidden="1">
      <c r="B1129" s="3" t="s">
        <v>256</v>
      </c>
      <c r="C1129" s="3">
        <v>0</v>
      </c>
    </row>
    <row r="1130" spans="2:3" hidden="1">
      <c r="B1130" s="3" t="s">
        <v>257</v>
      </c>
      <c r="C1130" s="3">
        <v>0</v>
      </c>
    </row>
    <row r="1131" spans="2:3" hidden="1">
      <c r="B1131" s="3" t="s">
        <v>258</v>
      </c>
      <c r="C1131" s="3" t="s">
        <v>259</v>
      </c>
    </row>
    <row r="1132" spans="2:3" hidden="1">
      <c r="B1132" s="3" t="s">
        <v>260</v>
      </c>
      <c r="C1132" s="3">
        <v>0</v>
      </c>
    </row>
    <row r="1133" spans="2:3" hidden="1">
      <c r="B1133" s="3" t="s">
        <v>261</v>
      </c>
      <c r="C1133" s="3">
        <v>0</v>
      </c>
    </row>
    <row r="1134" spans="2:3" hidden="1">
      <c r="B1134" s="3" t="s">
        <v>262</v>
      </c>
      <c r="C1134" s="3">
        <v>0</v>
      </c>
    </row>
    <row r="1135" spans="2:3" hidden="1">
      <c r="B1135" s="3" t="s">
        <v>263</v>
      </c>
      <c r="C1135" s="3">
        <v>0</v>
      </c>
    </row>
    <row r="1136" spans="2:3" hidden="1">
      <c r="B1136" s="3" t="s">
        <v>264</v>
      </c>
      <c r="C1136" s="3">
        <v>0</v>
      </c>
    </row>
    <row r="1137" spans="2:3" hidden="1">
      <c r="B1137" s="3" t="s">
        <v>265</v>
      </c>
      <c r="C1137" s="3">
        <v>0</v>
      </c>
    </row>
    <row r="1138" spans="2:3" hidden="1">
      <c r="B1138" s="3" t="s">
        <v>266</v>
      </c>
      <c r="C1138" s="3">
        <v>0</v>
      </c>
    </row>
    <row r="1139" spans="2:3" hidden="1">
      <c r="B1139" s="3" t="s">
        <v>267</v>
      </c>
      <c r="C1139" s="3">
        <v>0</v>
      </c>
    </row>
    <row r="1140" spans="2:3" hidden="1">
      <c r="B1140" s="3" t="s">
        <v>268</v>
      </c>
      <c r="C1140" s="3">
        <v>0</v>
      </c>
    </row>
    <row r="1141" spans="2:3" hidden="1">
      <c r="B1141" s="3" t="s">
        <v>269</v>
      </c>
      <c r="C1141" s="3">
        <v>0</v>
      </c>
    </row>
    <row r="1142" spans="2:3" hidden="1">
      <c r="B1142" s="3" t="s">
        <v>270</v>
      </c>
      <c r="C1142" s="3">
        <v>0</v>
      </c>
    </row>
    <row r="1143" spans="2:3" hidden="1">
      <c r="B1143" s="3" t="s">
        <v>271</v>
      </c>
      <c r="C1143" s="3">
        <v>0</v>
      </c>
    </row>
    <row r="1144" spans="2:3" hidden="1">
      <c r="B1144" s="3" t="s">
        <v>272</v>
      </c>
      <c r="C1144" s="3">
        <v>0</v>
      </c>
    </row>
    <row r="1145" spans="2:3" hidden="1">
      <c r="B1145" s="3" t="s">
        <v>273</v>
      </c>
      <c r="C1145" s="3">
        <v>0</v>
      </c>
    </row>
    <row r="1146" spans="2:3" hidden="1">
      <c r="B1146" s="3" t="s">
        <v>274</v>
      </c>
      <c r="C1146" s="3">
        <v>0</v>
      </c>
    </row>
    <row r="1147" spans="2:3" hidden="1">
      <c r="B1147" s="3" t="s">
        <v>275</v>
      </c>
      <c r="C1147" s="3">
        <v>0</v>
      </c>
    </row>
    <row r="1148" spans="2:3" hidden="1">
      <c r="B1148" s="3" t="s">
        <v>276</v>
      </c>
      <c r="C1148" s="3">
        <v>0</v>
      </c>
    </row>
    <row r="1149" spans="2:3" hidden="1">
      <c r="B1149" s="3" t="s">
        <v>277</v>
      </c>
      <c r="C1149" s="3" t="s">
        <v>241</v>
      </c>
    </row>
    <row r="1150" spans="2:3" hidden="1">
      <c r="B1150" s="3" t="s">
        <v>278</v>
      </c>
      <c r="C1150" s="3">
        <v>0</v>
      </c>
    </row>
    <row r="1151" spans="2:3" hidden="1">
      <c r="B1151" s="3" t="s">
        <v>279</v>
      </c>
      <c r="C1151" s="3">
        <v>0</v>
      </c>
    </row>
    <row r="1152" spans="2:3" hidden="1">
      <c r="B1152" s="3" t="s">
        <v>280</v>
      </c>
      <c r="C1152" s="3">
        <v>0</v>
      </c>
    </row>
    <row r="1153" spans="2:3" hidden="1">
      <c r="B1153" s="3" t="s">
        <v>281</v>
      </c>
      <c r="C1153" s="3">
        <v>0</v>
      </c>
    </row>
    <row r="1154" spans="2:3" hidden="1">
      <c r="B1154" s="3" t="s">
        <v>282</v>
      </c>
      <c r="C1154" s="3">
        <v>0</v>
      </c>
    </row>
    <row r="1155" spans="2:3" hidden="1">
      <c r="B1155" s="3" t="s">
        <v>283</v>
      </c>
      <c r="C1155" s="3">
        <v>0</v>
      </c>
    </row>
    <row r="1156" spans="2:3" hidden="1">
      <c r="B1156" s="3" t="s">
        <v>284</v>
      </c>
      <c r="C1156" s="3">
        <v>0</v>
      </c>
    </row>
    <row r="1157" spans="2:3" hidden="1">
      <c r="B1157" s="3" t="s">
        <v>285</v>
      </c>
      <c r="C1157" s="3">
        <v>0</v>
      </c>
    </row>
    <row r="1158" spans="2:3" hidden="1">
      <c r="B1158" s="3" t="s">
        <v>286</v>
      </c>
      <c r="C1158" s="3">
        <v>0</v>
      </c>
    </row>
    <row r="1159" spans="2:3" hidden="1">
      <c r="B1159" s="3" t="s">
        <v>287</v>
      </c>
      <c r="C1159" s="3">
        <v>0</v>
      </c>
    </row>
    <row r="1160" spans="2:3" hidden="1">
      <c r="B1160" s="3" t="s">
        <v>288</v>
      </c>
      <c r="C1160" s="3">
        <v>0</v>
      </c>
    </row>
    <row r="1161" spans="2:3" hidden="1">
      <c r="B1161" s="3" t="s">
        <v>289</v>
      </c>
      <c r="C1161" s="3">
        <v>1</v>
      </c>
    </row>
    <row r="1162" spans="2:3" hidden="1">
      <c r="B1162" s="3" t="s">
        <v>290</v>
      </c>
      <c r="C1162" s="3">
        <v>0</v>
      </c>
    </row>
    <row r="1163" spans="2:3" hidden="1">
      <c r="B1163" s="3" t="s">
        <v>291</v>
      </c>
      <c r="C1163" s="3">
        <v>0</v>
      </c>
    </row>
    <row r="1164" spans="2:3" hidden="1">
      <c r="B1164" s="3" t="s">
        <v>292</v>
      </c>
      <c r="C1164" s="3">
        <v>0</v>
      </c>
    </row>
    <row r="1165" spans="2:3" hidden="1">
      <c r="B1165" s="3" t="s">
        <v>293</v>
      </c>
      <c r="C1165" s="3">
        <v>0</v>
      </c>
    </row>
    <row r="1166" spans="2:3" hidden="1">
      <c r="B1166" s="3" t="s">
        <v>294</v>
      </c>
      <c r="C1166" s="3">
        <v>0</v>
      </c>
    </row>
    <row r="1167" spans="2:3" hidden="1">
      <c r="B1167" s="3" t="s">
        <v>295</v>
      </c>
      <c r="C1167" s="3">
        <v>0</v>
      </c>
    </row>
    <row r="1168" spans="2:3" hidden="1">
      <c r="B1168" s="3" t="s">
        <v>296</v>
      </c>
      <c r="C1168" s="3">
        <v>0</v>
      </c>
    </row>
    <row r="1169" spans="2:3" hidden="1">
      <c r="B1169" s="3" t="s">
        <v>297</v>
      </c>
      <c r="C1169" s="3">
        <v>1</v>
      </c>
    </row>
    <row r="1170" spans="2:3" hidden="1">
      <c r="B1170" s="3" t="s">
        <v>298</v>
      </c>
      <c r="C1170" s="3">
        <v>0</v>
      </c>
    </row>
    <row r="1171" spans="2:3" hidden="1">
      <c r="B1171" s="3" t="s">
        <v>299</v>
      </c>
      <c r="C1171" s="3">
        <v>0</v>
      </c>
    </row>
    <row r="1172" spans="2:3" hidden="1">
      <c r="B1172" s="3" t="s">
        <v>300</v>
      </c>
      <c r="C1172" s="3">
        <v>0</v>
      </c>
    </row>
    <row r="1173" spans="2:3" hidden="1">
      <c r="B1173" s="3" t="s">
        <v>301</v>
      </c>
      <c r="C1173" s="3">
        <v>0</v>
      </c>
    </row>
    <row r="1174" spans="2:3" hidden="1">
      <c r="B1174" s="3" t="s">
        <v>302</v>
      </c>
      <c r="C1174" s="3">
        <v>0</v>
      </c>
    </row>
    <row r="1175" spans="2:3" hidden="1">
      <c r="B1175" s="3" t="s">
        <v>303</v>
      </c>
      <c r="C1175" s="3">
        <v>0</v>
      </c>
    </row>
    <row r="1176" spans="2:3" hidden="1">
      <c r="B1176" s="3" t="s">
        <v>304</v>
      </c>
      <c r="C1176" s="3">
        <v>0</v>
      </c>
    </row>
    <row r="1177" spans="2:3" hidden="1">
      <c r="B1177" s="3" t="s">
        <v>305</v>
      </c>
      <c r="C1177" s="3">
        <v>0</v>
      </c>
    </row>
    <row r="1178" spans="2:3" hidden="1">
      <c r="B1178" s="3" t="s">
        <v>306</v>
      </c>
      <c r="C1178" s="3">
        <v>0</v>
      </c>
    </row>
    <row r="1179" spans="2:3" hidden="1">
      <c r="B1179" s="3" t="s">
        <v>307</v>
      </c>
      <c r="C1179" s="3">
        <v>0</v>
      </c>
    </row>
    <row r="1180" spans="2:3" hidden="1">
      <c r="B1180" s="3" t="s">
        <v>308</v>
      </c>
      <c r="C1180" s="3">
        <v>0</v>
      </c>
    </row>
    <row r="1181" spans="2:3" hidden="1">
      <c r="B1181" s="3" t="s">
        <v>309</v>
      </c>
      <c r="C1181" s="3">
        <v>0</v>
      </c>
    </row>
    <row r="1182" spans="2:3" hidden="1">
      <c r="B1182" s="3" t="s">
        <v>310</v>
      </c>
      <c r="C1182" s="3">
        <v>0</v>
      </c>
    </row>
    <row r="1183" spans="2:3" hidden="1">
      <c r="B1183" s="3" t="s">
        <v>311</v>
      </c>
      <c r="C1183" s="3">
        <v>0</v>
      </c>
    </row>
    <row r="1184" spans="2:3" hidden="1">
      <c r="B1184" s="3" t="s">
        <v>312</v>
      </c>
      <c r="C1184" s="3">
        <v>0</v>
      </c>
    </row>
    <row r="1185" spans="2:3" hidden="1">
      <c r="B1185" s="3" t="s">
        <v>313</v>
      </c>
      <c r="C1185" s="3">
        <v>0</v>
      </c>
    </row>
    <row r="1186" spans="2:3" hidden="1">
      <c r="B1186" s="3" t="s">
        <v>314</v>
      </c>
      <c r="C1186" s="3">
        <v>0</v>
      </c>
    </row>
    <row r="1187" spans="2:3" hidden="1">
      <c r="B1187" s="3" t="s">
        <v>315</v>
      </c>
      <c r="C1187" s="3">
        <v>0</v>
      </c>
    </row>
    <row r="1188" spans="2:3" hidden="1">
      <c r="B1188" s="3" t="s">
        <v>316</v>
      </c>
      <c r="C1188" s="3">
        <v>1</v>
      </c>
    </row>
    <row r="1189" spans="2:3" hidden="1">
      <c r="B1189" s="3" t="s">
        <v>317</v>
      </c>
      <c r="C1189" s="3">
        <v>0</v>
      </c>
    </row>
    <row r="1190" spans="2:3" hidden="1">
      <c r="B1190" s="3" t="s">
        <v>318</v>
      </c>
      <c r="C1190" s="3">
        <v>0</v>
      </c>
    </row>
    <row r="1191" spans="2:3" hidden="1">
      <c r="B1191" s="3" t="s">
        <v>319</v>
      </c>
      <c r="C1191" s="3">
        <v>0</v>
      </c>
    </row>
    <row r="1192" spans="2:3" hidden="1">
      <c r="B1192" s="3" t="s">
        <v>320</v>
      </c>
      <c r="C1192" s="3">
        <v>0</v>
      </c>
    </row>
    <row r="1193" spans="2:3" hidden="1">
      <c r="B1193" s="3" t="s">
        <v>321</v>
      </c>
      <c r="C1193" s="3">
        <v>0</v>
      </c>
    </row>
    <row r="1194" spans="2:3" hidden="1">
      <c r="B1194" s="3" t="s">
        <v>322</v>
      </c>
      <c r="C1194" s="3">
        <v>0</v>
      </c>
    </row>
    <row r="1195" spans="2:3" hidden="1">
      <c r="B1195" s="3" t="s">
        <v>323</v>
      </c>
      <c r="C1195" s="3">
        <v>0</v>
      </c>
    </row>
    <row r="1196" spans="2:3" hidden="1">
      <c r="B1196" s="3" t="s">
        <v>324</v>
      </c>
      <c r="C1196" s="3">
        <v>0</v>
      </c>
    </row>
    <row r="1197" spans="2:3" hidden="1">
      <c r="B1197" s="3" t="s">
        <v>325</v>
      </c>
      <c r="C1197" s="3">
        <v>0</v>
      </c>
    </row>
    <row r="1198" spans="2:3" hidden="1">
      <c r="B1198" s="3" t="s">
        <v>326</v>
      </c>
      <c r="C1198" s="3">
        <v>0</v>
      </c>
    </row>
    <row r="1199" spans="2:3" hidden="1">
      <c r="B1199" s="3" t="s">
        <v>327</v>
      </c>
      <c r="C1199" s="3">
        <v>0</v>
      </c>
    </row>
    <row r="1200" spans="2:3" hidden="1">
      <c r="B1200" s="3" t="s">
        <v>328</v>
      </c>
      <c r="C1200" s="3">
        <v>0</v>
      </c>
    </row>
    <row r="1201" spans="2:3" hidden="1">
      <c r="B1201" s="3" t="s">
        <v>329</v>
      </c>
      <c r="C1201" s="3">
        <v>0</v>
      </c>
    </row>
    <row r="1202" spans="2:3" hidden="1">
      <c r="B1202" s="3" t="s">
        <v>330</v>
      </c>
      <c r="C1202" s="3">
        <v>0</v>
      </c>
    </row>
    <row r="1203" spans="2:3" hidden="1">
      <c r="B1203" s="3" t="s">
        <v>331</v>
      </c>
      <c r="C1203" s="3">
        <v>0</v>
      </c>
    </row>
    <row r="1204" spans="2:3" hidden="1">
      <c r="B1204" s="3" t="s">
        <v>332</v>
      </c>
      <c r="C1204" s="3">
        <v>0</v>
      </c>
    </row>
    <row r="1205" spans="2:3" hidden="1">
      <c r="B1205" s="3" t="s">
        <v>333</v>
      </c>
      <c r="C1205" s="3">
        <v>0</v>
      </c>
    </row>
    <row r="1206" spans="2:3" hidden="1">
      <c r="B1206" s="3" t="s">
        <v>334</v>
      </c>
      <c r="C1206" s="3">
        <v>0</v>
      </c>
    </row>
    <row r="1207" spans="2:3" hidden="1">
      <c r="B1207" s="3" t="s">
        <v>335</v>
      </c>
      <c r="C1207" s="3">
        <v>0</v>
      </c>
    </row>
    <row r="1208" spans="2:3" hidden="1">
      <c r="B1208" s="3" t="s">
        <v>336</v>
      </c>
      <c r="C1208" s="3">
        <v>0</v>
      </c>
    </row>
    <row r="1209" spans="2:3" hidden="1">
      <c r="B1209" s="3" t="s">
        <v>337</v>
      </c>
      <c r="C1209" s="3">
        <v>0</v>
      </c>
    </row>
    <row r="1210" spans="2:3" hidden="1">
      <c r="B1210" s="3" t="s">
        <v>338</v>
      </c>
      <c r="C1210" s="3">
        <v>0</v>
      </c>
    </row>
    <row r="1211" spans="2:3" hidden="1">
      <c r="B1211" s="3" t="s">
        <v>339</v>
      </c>
      <c r="C1211" s="3">
        <v>0</v>
      </c>
    </row>
    <row r="1212" spans="2:3" hidden="1">
      <c r="B1212" s="3" t="s">
        <v>340</v>
      </c>
      <c r="C1212" s="3">
        <v>0</v>
      </c>
    </row>
    <row r="1213" spans="2:3" hidden="1">
      <c r="B1213" s="3" t="s">
        <v>341</v>
      </c>
      <c r="C1213" s="3">
        <v>0</v>
      </c>
    </row>
    <row r="1214" spans="2:3" hidden="1">
      <c r="B1214" s="3" t="s">
        <v>342</v>
      </c>
      <c r="C1214" s="3">
        <v>0</v>
      </c>
    </row>
    <row r="1215" spans="2:3" hidden="1">
      <c r="B1215" s="3" t="s">
        <v>343</v>
      </c>
      <c r="C1215" s="3">
        <v>0</v>
      </c>
    </row>
    <row r="1216" spans="2:3" hidden="1">
      <c r="B1216" s="3" t="s">
        <v>344</v>
      </c>
      <c r="C1216" s="3">
        <v>0</v>
      </c>
    </row>
    <row r="1217" spans="2:3" hidden="1">
      <c r="B1217" s="3" t="s">
        <v>345</v>
      </c>
      <c r="C1217" s="3">
        <v>0</v>
      </c>
    </row>
    <row r="1218" spans="2:3" hidden="1">
      <c r="B1218" s="3" t="s">
        <v>346</v>
      </c>
      <c r="C1218" s="3">
        <v>0</v>
      </c>
    </row>
    <row r="1219" spans="2:3" hidden="1">
      <c r="B1219" s="3" t="s">
        <v>347</v>
      </c>
      <c r="C1219" s="3">
        <v>0</v>
      </c>
    </row>
    <row r="1220" spans="2:3" hidden="1">
      <c r="B1220" s="3" t="s">
        <v>348</v>
      </c>
      <c r="C1220" s="3">
        <v>0</v>
      </c>
    </row>
    <row r="1221" spans="2:3" hidden="1">
      <c r="B1221" s="3" t="s">
        <v>349</v>
      </c>
      <c r="C1221" s="3">
        <v>0</v>
      </c>
    </row>
    <row r="1222" spans="2:3" hidden="1">
      <c r="B1222" s="3" t="s">
        <v>350</v>
      </c>
      <c r="C1222" s="3">
        <v>0</v>
      </c>
    </row>
    <row r="1223" spans="2:3" hidden="1">
      <c r="B1223" s="3" t="s">
        <v>351</v>
      </c>
      <c r="C1223" s="3">
        <v>0</v>
      </c>
    </row>
    <row r="1224" spans="2:3" hidden="1">
      <c r="B1224" s="3" t="s">
        <v>352</v>
      </c>
      <c r="C1224" s="3">
        <v>0</v>
      </c>
    </row>
    <row r="1225" spans="2:3" hidden="1">
      <c r="B1225" s="3" t="s">
        <v>353</v>
      </c>
      <c r="C1225" s="3">
        <v>0</v>
      </c>
    </row>
    <row r="1226" spans="2:3" hidden="1">
      <c r="B1226" s="3" t="s">
        <v>354</v>
      </c>
      <c r="C1226" s="3">
        <v>0</v>
      </c>
    </row>
    <row r="1227" spans="2:3" hidden="1">
      <c r="B1227" s="3" t="s">
        <v>355</v>
      </c>
      <c r="C1227" s="3">
        <v>0</v>
      </c>
    </row>
    <row r="1228" spans="2:3" hidden="1">
      <c r="B1228" s="3" t="s">
        <v>356</v>
      </c>
      <c r="C1228" s="3">
        <v>0</v>
      </c>
    </row>
    <row r="1229" spans="2:3" hidden="1">
      <c r="B1229" s="3" t="s">
        <v>357</v>
      </c>
      <c r="C1229" s="3">
        <v>0</v>
      </c>
    </row>
  </sheetData>
  <sheetProtection sheet="1" objects="1" scenarios="1"/>
  <protectedRanges>
    <protectedRange sqref="D3 D5:E6 C6 F7:F8 D12:E12 D14:D16 F17 D18 D20:E23 D24 D25:E25 F26:F27 D32 F33 D38 F40 B54:B57 E54:F57 B63:D73" name="Grey cells"/>
  </protectedRanges>
  <mergeCells count="10">
    <mergeCell ref="B60:B61"/>
    <mergeCell ref="C60:C61"/>
    <mergeCell ref="E60:E61"/>
    <mergeCell ref="F60:F61"/>
    <mergeCell ref="I60:I61"/>
    <mergeCell ref="B2:F2"/>
    <mergeCell ref="I4:P4"/>
    <mergeCell ref="H5:H12"/>
    <mergeCell ref="B52:F52"/>
    <mergeCell ref="B59:I59"/>
  </mergeCells>
  <conditionalFormatting sqref="B72:C72">
    <cfRule type="expression" dxfId="17" priority="9" stopIfTrue="1">
      <formula>MID($B72,1,4)="Rent"</formula>
    </cfRule>
  </conditionalFormatting>
  <conditionalFormatting sqref="C31:D32">
    <cfRule type="expression" dxfId="16" priority="5">
      <formula>#REF!="yes"</formula>
    </cfRule>
  </conditionalFormatting>
  <conditionalFormatting sqref="D4">
    <cfRule type="expression" dxfId="15" priority="8">
      <formula>$F$1="no"</formula>
    </cfRule>
  </conditionalFormatting>
  <conditionalFormatting sqref="D11">
    <cfRule type="expression" dxfId="14" priority="7">
      <formula>#REF!="no"</formula>
    </cfRule>
  </conditionalFormatting>
  <conditionalFormatting sqref="D33 C34:E34">
    <cfRule type="expression" dxfId="13" priority="10">
      <formula>#REF!="yes"</formula>
    </cfRule>
  </conditionalFormatting>
  <conditionalFormatting sqref="D12:E30">
    <cfRule type="expression" dxfId="12" priority="1">
      <formula>#REF!="yes"</formula>
    </cfRule>
  </conditionalFormatting>
  <dataValidations count="1">
    <dataValidation type="list" allowBlank="1" showInputMessage="1" showErrorMessage="1" sqref="F1" xr:uid="{3B2C1200-26CC-49B3-8BDA-C8B997BF2373}">
      <formula1>"Yes, No"</formula1>
    </dataValidation>
  </dataValidations>
  <pageMargins left="0.7" right="0.7" top="0.75" bottom="0.75" header="0.3" footer="0.3"/>
  <pageSetup scale="67"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2D41BAE0-54A0-4CA6-A1AA-8F33F2BDABF1}">
          <x14:formula1>
            <xm:f>'Machinery Input Tables'!$C$133:$C$184</xm:f>
          </x14:formula1>
          <xm:sqref>B54:B57</xm:sqref>
        </x14:dataValidation>
        <x14:dataValidation type="list" allowBlank="1" showInputMessage="1" showErrorMessage="1" xr:uid="{BD2F3A4C-9A32-460B-8BBC-4F39655044E6}">
          <x14:formula1>
            <xm:f>'Machinery Input Tables'!$B$6:$B$121</xm:f>
          </x14:formula1>
          <xm:sqref>B63:B73</xm:sqref>
        </x14:dataValidation>
        <x14:dataValidation type="list" allowBlank="1" showInputMessage="1" showErrorMessage="1" xr:uid="{732B1C2B-13A1-43FE-BF10-BB1860DC8F6C}">
          <x14:formula1>
            <xm:f>'Machinery Input Tables'!$AH$6:$AH$32</xm:f>
          </x14:formula1>
          <xm:sqref>C63:C73</xm:sqref>
        </x14:dataValidation>
        <x14:dataValidation type="list" allowBlank="1" showInputMessage="1" showErrorMessage="1" xr:uid="{5A08AA6F-A75D-4B94-8035-A376FA93F4FD}">
          <x14:formula1>
            <xm:f>'Irrigation costs'!$D$2:$G$2</xm:f>
          </x14:formula1>
          <xm:sqref>D3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90F43-20F0-49C9-B4AE-4791667E3749}">
  <sheetPr>
    <pageSetUpPr fitToPage="1"/>
  </sheetPr>
  <dimension ref="A1:Q1229"/>
  <sheetViews>
    <sheetView showGridLines="0" topLeftCell="A3" zoomScaleNormal="100" workbookViewId="0">
      <selection activeCell="D3" sqref="D3"/>
    </sheetView>
  </sheetViews>
  <sheetFormatPr defaultColWidth="0" defaultRowHeight="16.5" zeroHeight="1"/>
  <cols>
    <col min="1" max="1" width="3.125" style="3" customWidth="1"/>
    <col min="2" max="2" width="34.875" style="3" customWidth="1"/>
    <col min="3" max="3" width="20.25" style="3" customWidth="1"/>
    <col min="4" max="5" width="14" style="3" customWidth="1"/>
    <col min="6" max="6" width="12.625" style="3" customWidth="1"/>
    <col min="7" max="7" width="11.75" style="3" customWidth="1"/>
    <col min="8" max="9" width="9" style="3" customWidth="1"/>
    <col min="10" max="10" width="11.625" style="3" customWidth="1"/>
    <col min="11" max="11" width="10.625" style="3" customWidth="1"/>
    <col min="12" max="14" width="9" style="3" customWidth="1"/>
    <col min="15" max="15" width="9.5" style="3" bestFit="1" customWidth="1"/>
    <col min="16" max="16" width="9" style="3" customWidth="1"/>
    <col min="17" max="17" width="3.125" style="3" customWidth="1"/>
    <col min="18" max="16384" width="9" style="3" hidden="1"/>
  </cols>
  <sheetData>
    <row r="1" spans="2:16">
      <c r="F1" s="32"/>
    </row>
    <row r="2" spans="2:16" ht="20.25" customHeight="1">
      <c r="B2" s="299" t="s">
        <v>887</v>
      </c>
      <c r="C2" s="299"/>
      <c r="D2" s="299"/>
      <c r="E2" s="299"/>
      <c r="F2" s="299"/>
      <c r="G2" s="4"/>
    </row>
    <row r="3" spans="2:16" ht="17.25">
      <c r="B3" s="33" t="s">
        <v>687</v>
      </c>
      <c r="C3" s="34"/>
      <c r="D3" s="143" t="s">
        <v>617</v>
      </c>
      <c r="E3" s="34"/>
      <c r="F3" s="36"/>
      <c r="G3" s="37"/>
      <c r="H3" s="38"/>
      <c r="I3" s="39" t="s">
        <v>800</v>
      </c>
      <c r="J3" s="38"/>
      <c r="K3" s="38"/>
      <c r="L3" s="38"/>
      <c r="M3" s="38"/>
      <c r="N3" s="38"/>
      <c r="O3" s="38"/>
      <c r="P3" s="38"/>
    </row>
    <row r="4" spans="2:16" ht="17.25">
      <c r="B4" s="40" t="s">
        <v>370</v>
      </c>
      <c r="C4" s="40" t="s">
        <v>556</v>
      </c>
      <c r="D4" s="41" t="s">
        <v>25</v>
      </c>
      <c r="E4" s="41" t="s">
        <v>854</v>
      </c>
      <c r="F4" s="41" t="s">
        <v>855</v>
      </c>
      <c r="G4" s="37"/>
      <c r="H4" s="42"/>
      <c r="I4" s="300" t="s">
        <v>6</v>
      </c>
      <c r="J4" s="300"/>
      <c r="K4" s="300"/>
      <c r="L4" s="300"/>
      <c r="M4" s="300"/>
      <c r="N4" s="300"/>
      <c r="O4" s="300"/>
      <c r="P4" s="300"/>
    </row>
    <row r="5" spans="2:16" ht="16.5" customHeight="1">
      <c r="B5" s="43" t="s">
        <v>20</v>
      </c>
      <c r="C5" s="187" t="s">
        <v>21</v>
      </c>
      <c r="D5" s="44">
        <v>105</v>
      </c>
      <c r="E5" s="77">
        <v>3.94</v>
      </c>
      <c r="F5" s="46">
        <f>D5*E5</f>
        <v>413.7</v>
      </c>
      <c r="G5" s="47" t="s">
        <v>40</v>
      </c>
      <c r="H5" s="301" t="s">
        <v>799</v>
      </c>
      <c r="I5" s="48"/>
      <c r="J5" s="49">
        <f>0.7*$D$5</f>
        <v>73.5</v>
      </c>
      <c r="K5" s="49">
        <f>0.8*$D$5</f>
        <v>84</v>
      </c>
      <c r="L5" s="49">
        <f>0.9*$D$5</f>
        <v>94.5</v>
      </c>
      <c r="M5" s="50">
        <f>1*$D$5</f>
        <v>105</v>
      </c>
      <c r="N5" s="49">
        <f>1.1*$D$5</f>
        <v>115.50000000000001</v>
      </c>
      <c r="O5" s="49">
        <f>1.2*$D$5</f>
        <v>126</v>
      </c>
      <c r="P5" s="51">
        <f>1.3*$D$5</f>
        <v>136.5</v>
      </c>
    </row>
    <row r="6" spans="2:16" ht="17.25">
      <c r="B6" s="43" t="s">
        <v>22</v>
      </c>
      <c r="C6" s="52"/>
      <c r="D6" s="53"/>
      <c r="E6" s="58"/>
      <c r="F6" s="46">
        <f>D6*E6</f>
        <v>0</v>
      </c>
      <c r="G6" s="54"/>
      <c r="H6" s="301"/>
      <c r="I6" s="55">
        <f>0.7*$E$5</f>
        <v>2.758</v>
      </c>
      <c r="J6" s="56">
        <f t="shared" ref="J6:P12" si="0">(J$5*$I6+SUM($F$6:$F$8)-((J$5*$I6+SUM($F$6:$F$8))/$F$9*$F$38)-($F$25*J$5/$D$5)-SUM($F$12:$F$13,$F$19,$F$24,$F$26:$F$31,$F$33:$F$34,$F$39))</f>
        <v>-357.79037226485684</v>
      </c>
      <c r="K6" s="56">
        <f t="shared" si="0"/>
        <v>-329.41055226485685</v>
      </c>
      <c r="L6" s="56">
        <f t="shared" si="0"/>
        <v>-301.03073226485685</v>
      </c>
      <c r="M6" s="56">
        <f t="shared" si="0"/>
        <v>-272.65091226485686</v>
      </c>
      <c r="N6" s="56">
        <f t="shared" si="0"/>
        <v>-244.2710922648568</v>
      </c>
      <c r="O6" s="56">
        <f t="shared" si="0"/>
        <v>-215.89127226485687</v>
      </c>
      <c r="P6" s="56">
        <f t="shared" si="0"/>
        <v>-187.51145226485687</v>
      </c>
    </row>
    <row r="7" spans="2:16" ht="17.25">
      <c r="B7" s="57" t="s">
        <v>23</v>
      </c>
      <c r="C7" s="34"/>
      <c r="D7" s="57"/>
      <c r="E7" s="34"/>
      <c r="F7" s="58">
        <v>9</v>
      </c>
      <c r="G7" s="54"/>
      <c r="H7" s="301"/>
      <c r="I7" s="55">
        <f>0.8*$E$5</f>
        <v>3.1520000000000001</v>
      </c>
      <c r="J7" s="56">
        <f t="shared" si="0"/>
        <v>-329.41055226485685</v>
      </c>
      <c r="K7" s="56">
        <f t="shared" si="0"/>
        <v>-296.97647226485685</v>
      </c>
      <c r="L7" s="56">
        <f t="shared" si="0"/>
        <v>-264.5423922648568</v>
      </c>
      <c r="M7" s="56">
        <f t="shared" si="0"/>
        <v>-232.10831226485681</v>
      </c>
      <c r="N7" s="56">
        <f t="shared" si="0"/>
        <v>-199.67423226485681</v>
      </c>
      <c r="O7" s="56">
        <f t="shared" si="0"/>
        <v>-167.24015226485682</v>
      </c>
      <c r="P7" s="56">
        <f t="shared" si="0"/>
        <v>-134.80607226485688</v>
      </c>
    </row>
    <row r="8" spans="2:16" ht="17.25">
      <c r="B8" s="57" t="s">
        <v>24</v>
      </c>
      <c r="C8" s="34"/>
      <c r="D8" s="57"/>
      <c r="E8" s="34"/>
      <c r="F8" s="59">
        <v>0</v>
      </c>
      <c r="G8" s="54"/>
      <c r="H8" s="301"/>
      <c r="I8" s="55">
        <f>0.9*$E$5</f>
        <v>3.5459999999999998</v>
      </c>
      <c r="J8" s="56">
        <f t="shared" si="0"/>
        <v>-301.03073226485691</v>
      </c>
      <c r="K8" s="56">
        <f t="shared" si="0"/>
        <v>-264.54239226485686</v>
      </c>
      <c r="L8" s="56">
        <f t="shared" si="0"/>
        <v>-228.05405226485686</v>
      </c>
      <c r="M8" s="56">
        <f t="shared" si="0"/>
        <v>-191.56571226485687</v>
      </c>
      <c r="N8" s="56">
        <f t="shared" si="0"/>
        <v>-155.07737226485682</v>
      </c>
      <c r="O8" s="56">
        <f t="shared" si="0"/>
        <v>-118.58903226485688</v>
      </c>
      <c r="P8" s="56">
        <f t="shared" si="0"/>
        <v>-82.100692264856889</v>
      </c>
    </row>
    <row r="9" spans="2:16" ht="17.25">
      <c r="B9" s="60" t="s">
        <v>373</v>
      </c>
      <c r="C9" s="34"/>
      <c r="D9" s="61"/>
      <c r="E9" s="61"/>
      <c r="F9" s="62">
        <f>SUM(F5:F8)</f>
        <v>422.7</v>
      </c>
      <c r="G9" s="63"/>
      <c r="H9" s="301"/>
      <c r="I9" s="64">
        <f>1*$E$5</f>
        <v>3.94</v>
      </c>
      <c r="J9" s="56">
        <f t="shared" si="0"/>
        <v>-272.65091226485686</v>
      </c>
      <c r="K9" s="56">
        <f t="shared" si="0"/>
        <v>-232.10831226485686</v>
      </c>
      <c r="L9" s="56">
        <f t="shared" si="0"/>
        <v>-191.56571226485687</v>
      </c>
      <c r="M9" s="65">
        <f t="shared" si="0"/>
        <v>-151.02311226485688</v>
      </c>
      <c r="N9" s="56">
        <f t="shared" si="0"/>
        <v>-110.48051226485683</v>
      </c>
      <c r="O9" s="56">
        <f t="shared" si="0"/>
        <v>-69.937912264856834</v>
      </c>
      <c r="P9" s="56">
        <f t="shared" si="0"/>
        <v>-29.395312264856898</v>
      </c>
    </row>
    <row r="10" spans="2:16" ht="17.25">
      <c r="B10" s="60"/>
      <c r="C10" s="34"/>
      <c r="D10" s="61"/>
      <c r="E10" s="61"/>
      <c r="F10" s="66"/>
      <c r="G10" s="63"/>
      <c r="H10" s="301"/>
      <c r="I10" s="55">
        <f>1.1*$E$5</f>
        <v>4.3340000000000005</v>
      </c>
      <c r="J10" s="56">
        <f t="shared" si="0"/>
        <v>-244.2710922648568</v>
      </c>
      <c r="K10" s="56">
        <f t="shared" si="0"/>
        <v>-199.67423226485681</v>
      </c>
      <c r="L10" s="56">
        <f t="shared" si="0"/>
        <v>-155.07737226485682</v>
      </c>
      <c r="M10" s="56">
        <f t="shared" si="0"/>
        <v>-110.48051226485683</v>
      </c>
      <c r="N10" s="56">
        <f t="shared" si="0"/>
        <v>-65.883652264856778</v>
      </c>
      <c r="O10" s="56">
        <f t="shared" si="0"/>
        <v>-21.286792264856786</v>
      </c>
      <c r="P10" s="56">
        <f t="shared" si="0"/>
        <v>23.310067735143207</v>
      </c>
    </row>
    <row r="11" spans="2:16" ht="17.25">
      <c r="B11" s="67" t="s">
        <v>856</v>
      </c>
      <c r="C11" s="40" t="s">
        <v>556</v>
      </c>
      <c r="D11" s="41" t="s">
        <v>25</v>
      </c>
      <c r="E11" s="41" t="s">
        <v>854</v>
      </c>
      <c r="F11" s="41" t="s">
        <v>855</v>
      </c>
      <c r="G11" s="63"/>
      <c r="H11" s="301"/>
      <c r="I11" s="55">
        <f>1.2*$E$5</f>
        <v>4.7279999999999998</v>
      </c>
      <c r="J11" s="56">
        <f t="shared" si="0"/>
        <v>-215.89127226485687</v>
      </c>
      <c r="K11" s="56">
        <f t="shared" si="0"/>
        <v>-167.24015226485687</v>
      </c>
      <c r="L11" s="56">
        <f t="shared" si="0"/>
        <v>-118.58903226485688</v>
      </c>
      <c r="M11" s="56">
        <f t="shared" si="0"/>
        <v>-69.937912264856834</v>
      </c>
      <c r="N11" s="56">
        <f t="shared" si="0"/>
        <v>-21.286792264856786</v>
      </c>
      <c r="O11" s="56">
        <f t="shared" si="0"/>
        <v>27.364327735143092</v>
      </c>
      <c r="P11" s="56">
        <f t="shared" si="0"/>
        <v>76.015447735143084</v>
      </c>
    </row>
    <row r="12" spans="2:16" ht="17.25">
      <c r="B12" s="57" t="s">
        <v>14</v>
      </c>
      <c r="C12" s="7" t="s">
        <v>857</v>
      </c>
      <c r="D12" s="68">
        <v>90000</v>
      </c>
      <c r="E12" s="69">
        <v>90</v>
      </c>
      <c r="F12" s="46">
        <f>D12*E12/I16</f>
        <v>13.5</v>
      </c>
      <c r="G12" s="63"/>
      <c r="H12" s="301"/>
      <c r="I12" s="70">
        <f>1.3*$E$5</f>
        <v>5.1219999999999999</v>
      </c>
      <c r="J12" s="56">
        <f t="shared" si="0"/>
        <v>-187.51145226485687</v>
      </c>
      <c r="K12" s="56">
        <f t="shared" si="0"/>
        <v>-134.80607226485688</v>
      </c>
      <c r="L12" s="56">
        <f t="shared" si="0"/>
        <v>-82.100692264856889</v>
      </c>
      <c r="M12" s="56">
        <f t="shared" si="0"/>
        <v>-29.395312264856898</v>
      </c>
      <c r="N12" s="56">
        <f t="shared" si="0"/>
        <v>23.310067735143093</v>
      </c>
      <c r="O12" s="56">
        <f t="shared" si="0"/>
        <v>76.015447735143084</v>
      </c>
      <c r="P12" s="56">
        <f t="shared" si="0"/>
        <v>128.72082773514319</v>
      </c>
    </row>
    <row r="13" spans="2:16">
      <c r="B13" s="57" t="s">
        <v>26</v>
      </c>
      <c r="C13" s="7"/>
      <c r="D13" s="34"/>
      <c r="E13" s="71"/>
      <c r="F13" s="46">
        <f>SUMPRODUCT(D14:D18,E14:E18)+F17</f>
        <v>132.28</v>
      </c>
      <c r="G13" s="63"/>
      <c r="H13" s="72"/>
    </row>
    <row r="14" spans="2:16">
      <c r="B14" s="73" t="s">
        <v>27</v>
      </c>
      <c r="C14" s="7" t="s">
        <v>686</v>
      </c>
      <c r="D14" s="45">
        <v>90</v>
      </c>
      <c r="E14" s="71">
        <f>'Input prices'!D4</f>
        <v>0.7</v>
      </c>
      <c r="F14" s="46"/>
      <c r="G14" s="63"/>
      <c r="H14" s="72"/>
    </row>
    <row r="15" spans="2:16">
      <c r="B15" s="73" t="s">
        <v>28</v>
      </c>
      <c r="C15" s="7" t="s">
        <v>686</v>
      </c>
      <c r="D15" s="45">
        <v>36</v>
      </c>
      <c r="E15" s="71">
        <f>'Input prices'!D5</f>
        <v>0.73</v>
      </c>
      <c r="F15" s="46"/>
      <c r="G15" s="63"/>
      <c r="H15" s="74"/>
      <c r="I15" s="191" t="s">
        <v>858</v>
      </c>
      <c r="J15" s="75"/>
    </row>
    <row r="16" spans="2:16">
      <c r="B16" s="73" t="s">
        <v>8</v>
      </c>
      <c r="C16" s="7" t="s">
        <v>686</v>
      </c>
      <c r="D16" s="45">
        <v>25</v>
      </c>
      <c r="E16" s="71">
        <f>'Input prices'!D6</f>
        <v>0.42</v>
      </c>
      <c r="F16" s="46"/>
      <c r="G16" s="63"/>
      <c r="H16" s="74"/>
      <c r="I16" s="191">
        <v>600000</v>
      </c>
      <c r="K16" s="76"/>
    </row>
    <row r="17" spans="2:11">
      <c r="B17" s="73" t="s">
        <v>690</v>
      </c>
      <c r="C17" s="7"/>
      <c r="D17" s="34"/>
      <c r="E17" s="71"/>
      <c r="F17" s="77">
        <v>15</v>
      </c>
      <c r="G17" s="63"/>
      <c r="H17" s="72"/>
      <c r="I17" s="1"/>
      <c r="K17" s="76"/>
    </row>
    <row r="18" spans="2:11">
      <c r="B18" s="73" t="s">
        <v>9</v>
      </c>
      <c r="C18" s="7" t="s">
        <v>859</v>
      </c>
      <c r="D18" s="45">
        <v>0.5</v>
      </c>
      <c r="E18" s="71">
        <f>'Input prices'!D7</f>
        <v>35</v>
      </c>
      <c r="F18" s="78"/>
      <c r="G18" s="63"/>
      <c r="H18" s="72"/>
      <c r="I18" s="9"/>
      <c r="K18" s="79"/>
    </row>
    <row r="19" spans="2:11">
      <c r="B19" s="57" t="s">
        <v>29</v>
      </c>
      <c r="C19" s="7"/>
      <c r="D19" s="34"/>
      <c r="E19" s="71"/>
      <c r="F19" s="46">
        <f>SUMPRODUCT(D20:D23,E20:E23)</f>
        <v>112</v>
      </c>
      <c r="G19" s="37"/>
      <c r="H19" s="72"/>
      <c r="I19" s="9"/>
      <c r="K19" s="79"/>
    </row>
    <row r="20" spans="2:11">
      <c r="B20" s="73" t="s">
        <v>15</v>
      </c>
      <c r="C20" s="7" t="s">
        <v>860</v>
      </c>
      <c r="D20" s="45">
        <v>2</v>
      </c>
      <c r="E20" s="69">
        <v>35</v>
      </c>
      <c r="F20" s="46"/>
      <c r="G20" s="37"/>
      <c r="H20" s="72"/>
      <c r="I20" s="9"/>
      <c r="K20" s="79"/>
    </row>
    <row r="21" spans="2:11">
      <c r="B21" s="73" t="s">
        <v>691</v>
      </c>
      <c r="C21" s="7" t="s">
        <v>860</v>
      </c>
      <c r="D21" s="45">
        <v>2</v>
      </c>
      <c r="E21" s="69">
        <v>21</v>
      </c>
      <c r="F21" s="46"/>
      <c r="G21" s="37"/>
      <c r="H21" s="72"/>
      <c r="I21" s="9"/>
      <c r="K21" s="79"/>
    </row>
    <row r="22" spans="2:11">
      <c r="B22" s="73" t="s">
        <v>692</v>
      </c>
      <c r="C22" s="7" t="s">
        <v>860</v>
      </c>
      <c r="D22" s="45">
        <v>0</v>
      </c>
      <c r="E22" s="69">
        <v>0</v>
      </c>
      <c r="F22" s="46"/>
      <c r="G22" s="63"/>
      <c r="H22" s="72"/>
      <c r="I22" s="9"/>
      <c r="K22" s="79"/>
    </row>
    <row r="23" spans="2:11">
      <c r="B23" s="73" t="s">
        <v>879</v>
      </c>
      <c r="C23" s="7" t="s">
        <v>860</v>
      </c>
      <c r="D23" s="45">
        <v>0</v>
      </c>
      <c r="E23" s="69">
        <v>0</v>
      </c>
      <c r="F23" s="46"/>
      <c r="G23" s="63"/>
      <c r="H23" s="72"/>
      <c r="I23" s="9"/>
      <c r="K23" s="79"/>
    </row>
    <row r="24" spans="2:11">
      <c r="B24" s="57" t="s">
        <v>359</v>
      </c>
      <c r="C24" s="7" t="s">
        <v>861</v>
      </c>
      <c r="D24" s="45">
        <v>12</v>
      </c>
      <c r="E24" s="71">
        <f>IFERROR(HLOOKUP($D$3,'Irrigation costs'!$D$2:$F$17,15,FALSE),0)</f>
        <v>3.76</v>
      </c>
      <c r="F24" s="46">
        <f>D24*E24</f>
        <v>45.12</v>
      </c>
      <c r="G24" s="63"/>
      <c r="H24" s="72"/>
      <c r="I24" s="9"/>
      <c r="K24" s="80"/>
    </row>
    <row r="25" spans="2:11">
      <c r="B25" s="57" t="s">
        <v>755</v>
      </c>
      <c r="C25" s="7" t="s">
        <v>862</v>
      </c>
      <c r="D25" s="81">
        <v>0</v>
      </c>
      <c r="E25" s="69">
        <v>0.05</v>
      </c>
      <c r="F25" s="46">
        <f>IFERROR(D25*100*E25*D5,0)</f>
        <v>0</v>
      </c>
      <c r="G25" s="63"/>
      <c r="H25" s="72"/>
      <c r="I25" s="9"/>
      <c r="K25" s="79"/>
    </row>
    <row r="26" spans="2:11">
      <c r="B26" s="57" t="s">
        <v>30</v>
      </c>
      <c r="C26" s="7"/>
      <c r="D26" s="34"/>
      <c r="E26" s="71"/>
      <c r="F26" s="58">
        <v>8.5</v>
      </c>
      <c r="G26" s="63"/>
      <c r="H26" s="72"/>
      <c r="I26" s="1"/>
      <c r="K26" s="76"/>
    </row>
    <row r="27" spans="2:11">
      <c r="B27" s="57" t="s">
        <v>31</v>
      </c>
      <c r="C27" s="7"/>
      <c r="D27" s="34"/>
      <c r="E27" s="71"/>
      <c r="F27" s="58">
        <v>13</v>
      </c>
      <c r="G27" s="63"/>
      <c r="H27" s="72"/>
      <c r="I27" s="9"/>
      <c r="K27" s="82"/>
    </row>
    <row r="28" spans="2:11">
      <c r="B28" s="57" t="s">
        <v>32</v>
      </c>
      <c r="C28" s="7" t="s">
        <v>654</v>
      </c>
      <c r="D28" s="34"/>
      <c r="E28" s="71"/>
      <c r="F28" s="83">
        <f>G58</f>
        <v>19.971</v>
      </c>
      <c r="G28" s="63"/>
      <c r="H28" s="72"/>
      <c r="I28" s="9"/>
      <c r="K28" s="82"/>
    </row>
    <row r="29" spans="2:11">
      <c r="B29" s="57" t="s">
        <v>808</v>
      </c>
      <c r="C29" s="7" t="s">
        <v>863</v>
      </c>
      <c r="D29" s="34">
        <f>F74</f>
        <v>0.59184313725490201</v>
      </c>
      <c r="E29" s="71">
        <f>'Input prices'!D8</f>
        <v>22.5</v>
      </c>
      <c r="F29" s="83">
        <f>E29*D29</f>
        <v>13.316470588235296</v>
      </c>
      <c r="G29" s="63"/>
      <c r="H29" s="72"/>
      <c r="I29" s="9"/>
      <c r="K29" s="82"/>
    </row>
    <row r="30" spans="2:11">
      <c r="B30" s="57" t="s">
        <v>702</v>
      </c>
      <c r="C30" s="7" t="s">
        <v>864</v>
      </c>
      <c r="D30" s="34">
        <f>E74</f>
        <v>5.3948291666666659</v>
      </c>
      <c r="E30" s="71">
        <f>'Input prices'!D9</f>
        <v>2.9</v>
      </c>
      <c r="F30" s="83">
        <f>D30*E30</f>
        <v>15.64500458333333</v>
      </c>
      <c r="G30" s="63"/>
      <c r="H30" s="72"/>
      <c r="I30" s="9"/>
      <c r="K30" s="76"/>
    </row>
    <row r="31" spans="2:11">
      <c r="B31" s="57" t="s">
        <v>33</v>
      </c>
      <c r="C31" s="84" t="s">
        <v>654</v>
      </c>
      <c r="D31" s="85"/>
      <c r="E31" s="34"/>
      <c r="F31" s="83">
        <f>G74-F30-F29</f>
        <v>30.435557064625286</v>
      </c>
      <c r="G31" s="63"/>
      <c r="H31" s="72"/>
      <c r="I31" s="9"/>
      <c r="K31" s="86"/>
    </row>
    <row r="32" spans="2:11">
      <c r="B32" s="57" t="s">
        <v>366</v>
      </c>
      <c r="C32" s="84" t="s">
        <v>865</v>
      </c>
      <c r="D32" s="197">
        <v>0.03</v>
      </c>
      <c r="E32" s="34"/>
      <c r="F32" s="83">
        <f>F9*D32</f>
        <v>12.680999999999999</v>
      </c>
      <c r="G32" s="63"/>
      <c r="H32" s="72"/>
      <c r="I32" s="9"/>
      <c r="K32" s="87"/>
    </row>
    <row r="33" spans="2:8">
      <c r="B33" s="57" t="s">
        <v>34</v>
      </c>
      <c r="C33" s="7" t="s">
        <v>654</v>
      </c>
      <c r="D33" s="85"/>
      <c r="E33" s="34"/>
      <c r="F33" s="58">
        <v>0</v>
      </c>
      <c r="G33" s="63"/>
      <c r="H33" s="72"/>
    </row>
    <row r="34" spans="2:8">
      <c r="B34" s="57" t="s">
        <v>11</v>
      </c>
      <c r="C34" s="84" t="s">
        <v>866</v>
      </c>
      <c r="D34" s="88">
        <f>SUM(F12:F13,F19,F25:F33)/2</f>
        <v>185.66451611809694</v>
      </c>
      <c r="E34" s="89">
        <f>'Input prices'!D10</f>
        <v>7.2499999999999995E-2</v>
      </c>
      <c r="F34" s="90">
        <f>E34*D34</f>
        <v>13.460677418562028</v>
      </c>
      <c r="G34" s="91"/>
      <c r="H34" s="72"/>
    </row>
    <row r="35" spans="2:8">
      <c r="B35" s="60" t="s">
        <v>372</v>
      </c>
      <c r="C35" s="92"/>
      <c r="D35" s="61"/>
      <c r="E35" s="34"/>
      <c r="F35" s="62">
        <f>SUM(F12:F13,F19,F24:F34)</f>
        <v>429.90970965475594</v>
      </c>
      <c r="G35" s="63"/>
      <c r="H35" s="72"/>
    </row>
    <row r="36" spans="2:8">
      <c r="B36" s="36"/>
      <c r="C36" s="92"/>
      <c r="D36" s="61"/>
      <c r="E36" s="34"/>
      <c r="F36" s="36"/>
      <c r="G36" s="63"/>
      <c r="H36" s="72"/>
    </row>
    <row r="37" spans="2:8" ht="17.25">
      <c r="B37" s="67" t="s">
        <v>867</v>
      </c>
      <c r="C37" s="40" t="s">
        <v>556</v>
      </c>
      <c r="D37" s="41" t="s">
        <v>25</v>
      </c>
      <c r="E37" s="41" t="s">
        <v>854</v>
      </c>
      <c r="F37" s="41" t="s">
        <v>855</v>
      </c>
      <c r="G37" s="63"/>
      <c r="H37" s="72"/>
    </row>
    <row r="38" spans="2:8">
      <c r="B38" s="57" t="s">
        <v>18</v>
      </c>
      <c r="C38" s="84" t="s">
        <v>865</v>
      </c>
      <c r="D38" s="197">
        <v>0.02</v>
      </c>
      <c r="E38" s="34"/>
      <c r="F38" s="46">
        <f>D38*F9</f>
        <v>8.4540000000000006</v>
      </c>
      <c r="G38" s="63"/>
      <c r="H38" s="72"/>
    </row>
    <row r="39" spans="2:8">
      <c r="B39" s="57" t="s">
        <v>376</v>
      </c>
      <c r="C39" s="84" t="s">
        <v>654</v>
      </c>
      <c r="D39" s="61"/>
      <c r="E39" s="34"/>
      <c r="F39" s="46">
        <f>H74+HLOOKUP(D3,'Irrigation costs'!$D$2:$G$17,14, FALSE)</f>
        <v>148.04040261010093</v>
      </c>
      <c r="G39" s="63"/>
      <c r="H39" s="72"/>
    </row>
    <row r="40" spans="2:8">
      <c r="B40" s="57" t="s">
        <v>35</v>
      </c>
      <c r="C40" s="84" t="s">
        <v>654</v>
      </c>
      <c r="D40" s="61"/>
      <c r="E40" s="34"/>
      <c r="F40" s="93">
        <v>112.5</v>
      </c>
      <c r="G40" s="91"/>
      <c r="H40" s="72"/>
    </row>
    <row r="41" spans="2:8">
      <c r="B41" s="60" t="s">
        <v>868</v>
      </c>
      <c r="C41" s="92"/>
      <c r="D41" s="61"/>
      <c r="E41" s="34"/>
      <c r="F41" s="62">
        <f>SUM(F38:F40)</f>
        <v>268.99440261010091</v>
      </c>
      <c r="G41" s="63"/>
      <c r="H41" s="72"/>
    </row>
    <row r="42" spans="2:8">
      <c r="B42" s="36"/>
      <c r="C42" s="34"/>
      <c r="D42" s="61"/>
      <c r="E42" s="34"/>
      <c r="F42" s="46"/>
      <c r="G42" s="91"/>
      <c r="H42" s="72"/>
    </row>
    <row r="43" spans="2:8" ht="15" customHeight="1">
      <c r="B43" s="60" t="s">
        <v>375</v>
      </c>
      <c r="C43" s="34"/>
      <c r="D43" s="61"/>
      <c r="E43" s="61"/>
      <c r="F43" s="62">
        <f>F35+F41</f>
        <v>698.90411226485685</v>
      </c>
      <c r="G43" s="37"/>
      <c r="H43" s="72"/>
    </row>
    <row r="44" spans="2:8">
      <c r="B44" s="94"/>
      <c r="C44" s="95"/>
      <c r="D44" s="96"/>
      <c r="E44" s="95"/>
      <c r="F44" s="97"/>
      <c r="G44" s="63"/>
      <c r="H44" s="72"/>
    </row>
    <row r="45" spans="2:8">
      <c r="B45" s="98" t="s">
        <v>367</v>
      </c>
      <c r="C45" s="34"/>
      <c r="D45" s="61"/>
      <c r="E45" s="34"/>
      <c r="F45" s="62">
        <f>F9-F35</f>
        <v>-7.2097096547559545</v>
      </c>
      <c r="G45" s="63"/>
      <c r="H45" s="72"/>
    </row>
    <row r="46" spans="2:8">
      <c r="B46" s="98" t="s">
        <v>368</v>
      </c>
      <c r="C46" s="34"/>
      <c r="D46" s="61"/>
      <c r="E46" s="34"/>
      <c r="F46" s="62">
        <f>F9-F43</f>
        <v>-276.20411226485686</v>
      </c>
      <c r="G46" s="37"/>
      <c r="H46" s="72"/>
    </row>
    <row r="47" spans="2:8">
      <c r="B47" s="99" t="s">
        <v>369</v>
      </c>
      <c r="C47" s="100"/>
      <c r="D47" s="101"/>
      <c r="E47" s="100"/>
      <c r="F47" s="102">
        <f>F9-F43+F40+F32</f>
        <v>-151.02311226485685</v>
      </c>
      <c r="G47" s="63"/>
      <c r="H47" s="72"/>
    </row>
    <row r="48" spans="2:8">
      <c r="B48" s="36"/>
      <c r="C48" s="34"/>
      <c r="D48" s="34" t="s">
        <v>36</v>
      </c>
      <c r="E48" s="34"/>
      <c r="F48" s="46">
        <f>F35/D5</f>
        <v>4.0943781871881519</v>
      </c>
      <c r="G48" s="63"/>
      <c r="H48" s="72"/>
    </row>
    <row r="49" spans="2:9">
      <c r="B49" s="36"/>
      <c r="C49" s="34"/>
      <c r="D49" s="34" t="s">
        <v>37</v>
      </c>
      <c r="E49" s="34"/>
      <c r="F49" s="46">
        <f>F41/D5</f>
        <v>2.5618514534295325</v>
      </c>
      <c r="G49" s="63"/>
      <c r="H49" s="72"/>
    </row>
    <row r="50" spans="2:9">
      <c r="B50" s="103"/>
      <c r="C50" s="100"/>
      <c r="D50" s="100" t="s">
        <v>38</v>
      </c>
      <c r="E50" s="100"/>
      <c r="F50" s="90">
        <f>F43/D5</f>
        <v>6.656229640617684</v>
      </c>
      <c r="G50" s="63"/>
      <c r="H50" s="72"/>
    </row>
    <row r="51" spans="2:9">
      <c r="B51" s="37"/>
      <c r="C51" s="63"/>
      <c r="D51" s="104"/>
      <c r="E51" s="63"/>
      <c r="F51" s="37"/>
      <c r="G51" s="63"/>
      <c r="H51" s="72"/>
    </row>
    <row r="52" spans="2:9">
      <c r="B52" s="302" t="s">
        <v>869</v>
      </c>
      <c r="C52" s="302"/>
      <c r="D52" s="302"/>
      <c r="E52" s="302"/>
      <c r="F52" s="302"/>
      <c r="G52" s="106"/>
      <c r="H52" s="72"/>
    </row>
    <row r="53" spans="2:9">
      <c r="B53" s="107" t="s">
        <v>560</v>
      </c>
      <c r="C53" s="108" t="s">
        <v>561</v>
      </c>
      <c r="D53" s="108" t="s">
        <v>556</v>
      </c>
      <c r="E53" s="108" t="s">
        <v>754</v>
      </c>
      <c r="F53" s="108" t="s">
        <v>10</v>
      </c>
      <c r="G53" s="109" t="s">
        <v>698</v>
      </c>
      <c r="H53" s="72"/>
    </row>
    <row r="54" spans="2:9">
      <c r="B54" s="110" t="s">
        <v>563</v>
      </c>
      <c r="C54" s="111">
        <f>IF(ISBLANK($B54),"",VLOOKUP($B54,'Machinery Input Tables'!$C$133:$F$184,2,FALSE))</f>
        <v>7.3709999999999996</v>
      </c>
      <c r="D54" s="111" t="str">
        <f>IF(ISBLANK($B54),"",VLOOKUP($B54,'Machinery Input Tables'!$C$133:$F$184,3,FALSE))</f>
        <v>per acre</v>
      </c>
      <c r="E54" s="112"/>
      <c r="F54" s="110">
        <v>1</v>
      </c>
      <c r="G54" s="113">
        <f>IFERROR(C54*F54*IF(D54="per acre",1,E54),"-")</f>
        <v>7.3709999999999996</v>
      </c>
      <c r="H54" s="72"/>
    </row>
    <row r="55" spans="2:9">
      <c r="B55" s="110" t="s">
        <v>700</v>
      </c>
      <c r="C55" s="111">
        <f>IF(ISBLANK($B55),"",VLOOKUP($B55,'Machinery Input Tables'!$C$133:$F$184,2,FALSE))</f>
        <v>12.600000000000001</v>
      </c>
      <c r="D55" s="111" t="str">
        <f>IF(ISBLANK($B55),"",VLOOKUP($B55,'Machinery Input Tables'!$C$133:$F$184,3,FALSE))</f>
        <v>per acre</v>
      </c>
      <c r="E55" s="112"/>
      <c r="F55" s="110">
        <v>1</v>
      </c>
      <c r="G55" s="113">
        <f t="shared" ref="G55:G57" si="1">IFERROR(C55*F55*IF(D55="per acre",1,E55),"-")</f>
        <v>12.600000000000001</v>
      </c>
      <c r="H55" s="72"/>
    </row>
    <row r="56" spans="2:9">
      <c r="B56" s="114"/>
      <c r="C56" s="111" t="str">
        <f>IF(ISBLANK($B56),"",VLOOKUP($B56,'Machinery Input Tables'!$C$133:$F$184,2,FALSE))</f>
        <v/>
      </c>
      <c r="D56" s="111" t="str">
        <f>IF(ISBLANK($B56),"",VLOOKUP($B56,'Machinery Input Tables'!$C$133:$F$184,3,FALSE))</f>
        <v/>
      </c>
      <c r="E56" s="114"/>
      <c r="F56" s="114"/>
      <c r="G56" s="113" t="str">
        <f t="shared" si="1"/>
        <v>-</v>
      </c>
      <c r="H56" s="72"/>
    </row>
    <row r="57" spans="2:9">
      <c r="B57" s="115"/>
      <c r="C57" s="116" t="str">
        <f>IF(ISBLANK($B57),"",VLOOKUP($B57,'Machinery Input Tables'!$C$133:$F$184,2,FALSE))</f>
        <v/>
      </c>
      <c r="D57" s="117" t="str">
        <f>IF(ISBLANK($B57),"",VLOOKUP($B57,'Machinery Input Tables'!$C$133:$F$184,3,FALSE))</f>
        <v/>
      </c>
      <c r="E57" s="115"/>
      <c r="F57" s="115"/>
      <c r="G57" s="118" t="str">
        <f t="shared" si="1"/>
        <v>-</v>
      </c>
      <c r="H57" s="72"/>
    </row>
    <row r="58" spans="2:9">
      <c r="B58" s="119" t="s">
        <v>699</v>
      </c>
      <c r="C58" s="120"/>
      <c r="D58" s="119"/>
      <c r="E58" s="120"/>
      <c r="F58" s="120"/>
      <c r="G58" s="121">
        <f>SUM(G54:G57)</f>
        <v>19.971</v>
      </c>
      <c r="H58" s="72"/>
    </row>
    <row r="59" spans="2:9" s="6" customFormat="1" ht="17.25">
      <c r="B59" s="302" t="s">
        <v>870</v>
      </c>
      <c r="C59" s="302"/>
      <c r="D59" s="302"/>
      <c r="E59" s="302"/>
      <c r="F59" s="302"/>
      <c r="G59" s="302"/>
      <c r="H59" s="302"/>
      <c r="I59" s="302"/>
    </row>
    <row r="60" spans="2:9">
      <c r="B60" s="303" t="s">
        <v>497</v>
      </c>
      <c r="C60" s="305" t="s">
        <v>498</v>
      </c>
      <c r="D60" s="123" t="s">
        <v>871</v>
      </c>
      <c r="E60" s="305" t="s">
        <v>499</v>
      </c>
      <c r="F60" s="305" t="s">
        <v>500</v>
      </c>
      <c r="G60" s="122" t="s">
        <v>501</v>
      </c>
      <c r="H60" s="122" t="s">
        <v>502</v>
      </c>
      <c r="I60" s="307" t="s">
        <v>503</v>
      </c>
    </row>
    <row r="61" spans="2:9">
      <c r="B61" s="304"/>
      <c r="C61" s="306"/>
      <c r="D61" s="125" t="s">
        <v>872</v>
      </c>
      <c r="E61" s="306"/>
      <c r="F61" s="306"/>
      <c r="G61" s="124" t="s">
        <v>516</v>
      </c>
      <c r="H61" s="124" t="s">
        <v>516</v>
      </c>
      <c r="I61" s="308"/>
    </row>
    <row r="62" spans="2:9">
      <c r="B62" s="126"/>
      <c r="C62" s="127" t="s">
        <v>873</v>
      </c>
      <c r="D62" s="128" t="s">
        <v>522</v>
      </c>
      <c r="E62" s="128" t="s">
        <v>519</v>
      </c>
      <c r="F62" s="128" t="s">
        <v>520</v>
      </c>
      <c r="G62" s="128" t="s">
        <v>521</v>
      </c>
      <c r="H62" s="128" t="s">
        <v>521</v>
      </c>
      <c r="I62" s="128" t="s">
        <v>523</v>
      </c>
    </row>
    <row r="63" spans="2:9">
      <c r="B63" s="129" t="s">
        <v>850</v>
      </c>
      <c r="C63" s="129" t="s">
        <v>649</v>
      </c>
      <c r="D63" s="130">
        <v>1</v>
      </c>
      <c r="E63" s="131">
        <f>IFERROR(IF(ISBLANK(C63),"",IF(OR(ISBLANK(B63),IFERROR(VLOOKUP(B63,'Machinery Input Tables'!$B$6:$AF$121,13,FALSE),"")='Machinery Input Tables'!$N$128),1,VLOOKUP(B63,'Machinery Input Tables'!$B$6:$AF$121,28,FALSE))*VLOOKUP(C63,'Machinery Input Tables'!$AH$6:$BA$32,19,FALSE))*D63,"-")</f>
        <v>0.99733333333333329</v>
      </c>
      <c r="F63" s="131">
        <f>IFERROR(IF(AND(ISBLANK(B63)*ISBLANK(C63)),"",IF(ISBLANK(B63),1,IF(VLOOKUP(B63,'Machinery Input Tables'!$B$6:$AF$121,13,FALSE)='Machinery Input Tables'!$N$128,VLOOKUP(B63,'Machinery Input Tables'!$B$6:$AF$121,17,FALSE),VLOOKUP(B63,'Machinery Input Tables'!$B$6:$AF$121,28,FALSE))))*D63,"-")</f>
        <v>6.6666666666666666E-2</v>
      </c>
      <c r="G63" s="132">
        <f>IFERROR(IF(ISBLANK(C63),"",E63*'Machinery Input Tables'!$BP$10*'Machinery Input Tables'!$BP$11+E63*'Machinery Input Tables'!$BP$10+F63*'Machinery Input Tables'!$BP$6+(VLOOKUP(C63,'Machinery Input Tables'!$AH$6:$BA$32,18,FALSE)*IF(IFERROR(VLOOKUP(B63,'Machinery Input Tables'!$B$6:$AF$121,13,FALSE)='Machinery Input Tables'!$N$128,1),1,VLOOKUP(B63,'Machinery Input Tables'!$B$6:$AF$121,28,FALSE))+IFERROR(VLOOKUP(B63,'Machinery Input Tables'!$B$6:$AF$121,27,FALSE),0))*D63),"-")</f>
        <v>11.910885027261401</v>
      </c>
      <c r="H63" s="132">
        <f>IFERROR((IFERROR(VLOOKUP(B63,'Machinery Input Tables'!$B$6:$AF$121,24,FALSE),0)+VLOOKUP(C63,'Machinery Input Tables'!$AH$6:$BA$32,20,FALSE))*IF(IFERROR(VLOOKUP(B63,'Machinery Input Tables'!$B$6:$AF$121,13,FALSE)='Machinery Input Tables'!$N$128,1),1,VLOOKUP(B63,'Machinery Input Tables'!$B$6:$AF$121,28,FALSE))*D63,"-")</f>
        <v>16.865239053600568</v>
      </c>
      <c r="I63" s="132">
        <f>IFERROR(IF(ISBLANK(AND(B63,C63)),"",SUM(G63:H63)),"-")</f>
        <v>28.776124080861969</v>
      </c>
    </row>
    <row r="64" spans="2:9">
      <c r="B64" s="129" t="s">
        <v>694</v>
      </c>
      <c r="C64" s="129" t="s">
        <v>678</v>
      </c>
      <c r="D64" s="130">
        <v>2</v>
      </c>
      <c r="E64" s="131">
        <f>IFERROR(IF(ISBLANK(C64),"",IF(OR(ISBLANK(B64),IFERROR(VLOOKUP(B64,'Machinery Input Tables'!$B$6:$AF$121,13,FALSE),"")='Machinery Input Tables'!$N$128),1,VLOOKUP(B64,'Machinery Input Tables'!$B$6:$AF$121,28,FALSE))*VLOOKUP(C64,'Machinery Input Tables'!$AH$6:$BA$32,19,FALSE))*D64,"-")</f>
        <v>0.25208333333333333</v>
      </c>
      <c r="F64" s="131">
        <f>IFERROR(IF(AND(ISBLANK(B64)*ISBLANK(C64)),"",IF(ISBLANK(B64),1,IF(VLOOKUP(B64,'Machinery Input Tables'!$B$6:$AF$121,13,FALSE)='Machinery Input Tables'!$N$128,VLOOKUP(B64,'Machinery Input Tables'!$B$6:$AF$121,17,FALSE),VLOOKUP(B64,'Machinery Input Tables'!$B$6:$AF$121,28,FALSE))))*D64,"-")</f>
        <v>1.8333333333333333E-2</v>
      </c>
      <c r="G64" s="132">
        <f>IFERROR(IF(ISBLANK(C64),"",E64*'Machinery Input Tables'!$BP$10+F64*'Machinery Input Tables'!$BP$6+(VLOOKUP(C64,'Machinery Input Tables'!$AH$6:$BA$32,18,FALSE)*IF(IFERROR(VLOOKUP(B64,'Machinery Input Tables'!$B$6:$AF$121,13,FALSE)='Machinery Input Tables'!$N$128,1),1,VLOOKUP(B64,'Machinery Input Tables'!$B$6:$AF$121,28,FALSE))+IFERROR(VLOOKUP(B64,'Machinery Input Tables'!$B$6:$AF$121,27,FALSE),0))*D64),"-")</f>
        <v>5.6238073564489781</v>
      </c>
      <c r="H64" s="132">
        <f>IFERROR((IFERROR(VLOOKUP(B64,'Machinery Input Tables'!$B$6:$AF$121,24,FALSE),0)+VLOOKUP(C64,'Machinery Input Tables'!$AH$6:$BA$32,20,FALSE))*IF(IFERROR(VLOOKUP(B64,'Machinery Input Tables'!$B$6:$AF$121,13,FALSE)='Machinery Input Tables'!$N$128,1),1,VLOOKUP(B64,'Machinery Input Tables'!$B$6:$AF$121,28,FALSE))*D64,"-")</f>
        <v>3.2000737164930664</v>
      </c>
      <c r="I64" s="132">
        <f t="shared" ref="I64:I73" si="2">IFERROR(IF(ISBLANK(AND(B64,C64)),"",SUM(G64:H64)),"-")</f>
        <v>8.8238810729420436</v>
      </c>
    </row>
    <row r="65" spans="2:9">
      <c r="B65" s="129" t="s">
        <v>751</v>
      </c>
      <c r="C65" s="129" t="s">
        <v>848</v>
      </c>
      <c r="D65" s="130">
        <v>1</v>
      </c>
      <c r="E65" s="131">
        <f>IFERROR(IF(ISBLANK(C65),"",IF(OR(ISBLANK(B65),IFERROR(VLOOKUP(B65,'Machinery Input Tables'!$B$6:$AF$121,13,FALSE),"")='Machinery Input Tables'!$N$128),1,VLOOKUP(B65,'Machinery Input Tables'!$B$6:$AF$121,28,FALSE))*VLOOKUP(C65,'Machinery Input Tables'!$AH$6:$BA$32,19,FALSE))*D65,"-")</f>
        <v>1.2890625</v>
      </c>
      <c r="F65" s="131">
        <f>IFERROR(IF(AND(ISBLANK(B65)*ISBLANK(C65)),"",IF(ISBLANK(B65),1,IF(VLOOKUP(B65,'Machinery Input Tables'!$B$6:$AF$121,13,FALSE)='Machinery Input Tables'!$N$128,VLOOKUP(B65,'Machinery Input Tables'!$B$6:$AF$121,17,FALSE),VLOOKUP(B65,'Machinery Input Tables'!$B$6:$AF$121,28,FALSE))))*D65,"-")</f>
        <v>5.7291666666666664E-2</v>
      </c>
      <c r="G65" s="132">
        <f>IFERROR(IF(ISBLANK(C65),"",E65*'Machinery Input Tables'!$BP$10+F65*'Machinery Input Tables'!$BP$6+(VLOOKUP(C65,'Machinery Input Tables'!$AH$6:$BA$32,18,FALSE)*IF(IFERROR(VLOOKUP(B65,'Machinery Input Tables'!$B$6:$AF$121,13,FALSE)='Machinery Input Tables'!$N$128,1),1,VLOOKUP(B65,'Machinery Input Tables'!$B$6:$AF$121,28,FALSE))+IFERROR(VLOOKUP(B65,'Machinery Input Tables'!$B$6:$AF$121,27,FALSE),0))*D65),"-")</f>
        <v>10.959267140052072</v>
      </c>
      <c r="H65" s="132">
        <f>IFERROR((IFERROR(VLOOKUP(B65,'Machinery Input Tables'!$B$6:$AF$121,24,FALSE),0)+VLOOKUP(C65,'Machinery Input Tables'!$AH$6:$BA$32,20,FALSE))*IF(IFERROR(VLOOKUP(B65,'Machinery Input Tables'!$B$6:$AF$121,13,FALSE)='Machinery Input Tables'!$N$128,1),1,VLOOKUP(B65,'Machinery Input Tables'!$B$6:$AF$121,28,FALSE))*D65,"-")</f>
        <v>16.907479145828638</v>
      </c>
      <c r="I65" s="132">
        <f t="shared" si="2"/>
        <v>27.866746285880708</v>
      </c>
    </row>
    <row r="66" spans="2:9">
      <c r="B66" s="129" t="s">
        <v>729</v>
      </c>
      <c r="C66" s="129" t="s">
        <v>849</v>
      </c>
      <c r="D66" s="130">
        <v>0.1</v>
      </c>
      <c r="E66" s="131">
        <f>IFERROR(IF(ISBLANK(C66),"",IF(OR(ISBLANK(B66),IFERROR(VLOOKUP(B66,'Machinery Input Tables'!$B$6:$AF$121,13,FALSE),"")='Machinery Input Tables'!$N$128),1,VLOOKUP(B66,'Machinery Input Tables'!$B$6:$AF$121,28,FALSE))*VLOOKUP(C66,'Machinery Input Tables'!$AH$6:$BA$32,19,FALSE))*D66,"-")</f>
        <v>0.71250000000000002</v>
      </c>
      <c r="F66" s="131">
        <f>IFERROR(IF(AND(ISBLANK(B66)*ISBLANK(C66)),"",IF(ISBLANK(B66),1,IF(VLOOKUP(B66,'Machinery Input Tables'!$B$6:$AF$121,13,FALSE)='Machinery Input Tables'!$N$128,VLOOKUP(B66,'Machinery Input Tables'!$B$6:$AF$121,17,FALSE),VLOOKUP(B66,'Machinery Input Tables'!$B$6:$AF$121,28,FALSE))))*D66,"-")</f>
        <v>0.11000000000000001</v>
      </c>
      <c r="G66" s="132">
        <f>IFERROR(IF(ISBLANK(C66),"",E66*'Machinery Input Tables'!$BP$10+F66*'Machinery Input Tables'!$BP$6+(VLOOKUP(C66,'Machinery Input Tables'!$AH$6:$BA$32,18,FALSE)*IF(IFERROR(VLOOKUP(B66,'Machinery Input Tables'!$B$6:$AF$121,13,FALSE)='Machinery Input Tables'!$N$128,1),1,VLOOKUP(B66,'Machinery Input Tables'!$B$6:$AF$121,28,FALSE))+IFERROR(VLOOKUP(B66,'Machinery Input Tables'!$B$6:$AF$121,27,FALSE),0))*D66),"-")</f>
        <v>7.2879743497072633</v>
      </c>
      <c r="H66" s="132">
        <f>IFERROR((IFERROR(VLOOKUP(B66,'Machinery Input Tables'!$B$6:$AF$121,24,FALSE),0)+VLOOKUP(C66,'Machinery Input Tables'!$AH$6:$BA$32,20,FALSE))*IF(IFERROR(VLOOKUP(B66,'Machinery Input Tables'!$B$6:$AF$121,13,FALSE)='Machinery Input Tables'!$N$128,1),1,VLOOKUP(B66,'Machinery Input Tables'!$B$6:$AF$121,28,FALSE))*D66,"-")</f>
        <v>3.7787455147553155</v>
      </c>
      <c r="I66" s="132">
        <f t="shared" si="2"/>
        <v>11.066719864462579</v>
      </c>
    </row>
    <row r="67" spans="2:9">
      <c r="B67" s="129" t="s">
        <v>846</v>
      </c>
      <c r="C67" s="129" t="s">
        <v>693</v>
      </c>
      <c r="D67" s="130">
        <v>0.05</v>
      </c>
      <c r="E67" s="131">
        <f>IFERROR(IF(ISBLANK(C67),"",IF(OR(ISBLANK(B67),IFERROR(VLOOKUP(B67,'Machinery Input Tables'!$B$6:$AF$121,13,FALSE),"")='Machinery Input Tables'!$N$128),1,VLOOKUP(B67,'Machinery Input Tables'!$B$6:$AF$121,28,FALSE))*VLOOKUP(C67,'Machinery Input Tables'!$AH$6:$BA$32,19,FALSE))*D67,"-")</f>
        <v>0.61599999999999999</v>
      </c>
      <c r="F67" s="131">
        <f>IFERROR(IF(AND(ISBLANK(B67)*ISBLANK(C67)),"",IF(ISBLANK(B67),1,IF(VLOOKUP(B67,'Machinery Input Tables'!$B$6:$AF$121,13,FALSE)='Machinery Input Tables'!$N$128,VLOOKUP(B67,'Machinery Input Tables'!$B$6:$AF$121,17,FALSE),VLOOKUP(B67,'Machinery Input Tables'!$B$6:$AF$121,28,FALSE))))*D67,"-")</f>
        <v>5.7499999999999996E-2</v>
      </c>
      <c r="G67" s="132">
        <f>IFERROR(IF(ISBLANK(C67),"",E67*'Machinery Input Tables'!$BP$10+F67*'Machinery Input Tables'!$BP$6+(VLOOKUP(C67,'Machinery Input Tables'!$AH$6:$BA$32,18,FALSE)*IF(IFERROR(VLOOKUP(B67,'Machinery Input Tables'!$B$6:$AF$121,13,FALSE)='Machinery Input Tables'!$N$128,1),1,VLOOKUP(B67,'Machinery Input Tables'!$B$6:$AF$121,28,FALSE))+IFERROR(VLOOKUP(B67,'Machinery Input Tables'!$B$6:$AF$121,27,FALSE),0))*D67),"-")</f>
        <v>5.3801655065095373</v>
      </c>
      <c r="H67" s="132">
        <f>IFERROR((IFERROR(VLOOKUP(B67,'Machinery Input Tables'!$B$6:$AF$121,24,FALSE),0)+VLOOKUP(C67,'Machinery Input Tables'!$AH$6:$BA$32,20,FALSE))*IF(IFERROR(VLOOKUP(B67,'Machinery Input Tables'!$B$6:$AF$121,13,FALSE)='Machinery Input Tables'!$N$128,1),1,VLOOKUP(B67,'Machinery Input Tables'!$B$6:$AF$121,28,FALSE))*D67,"-")</f>
        <v>6.6402834680946832</v>
      </c>
      <c r="I67" s="132">
        <f t="shared" si="2"/>
        <v>12.020448974604221</v>
      </c>
    </row>
    <row r="68" spans="2:9">
      <c r="B68" s="129" t="s">
        <v>904</v>
      </c>
      <c r="C68" s="129" t="s">
        <v>804</v>
      </c>
      <c r="D68" s="130">
        <v>0.03</v>
      </c>
      <c r="E68" s="131">
        <f>IFERROR(IF(ISBLANK(C68),"",IF(OR(ISBLANK(B68),IFERROR(VLOOKUP(B68,'Machinery Input Tables'!$B$6:$AF$121,13,FALSE),"")='Machinery Input Tables'!$N$128),1,VLOOKUP(B68,'Machinery Input Tables'!$B$6:$AF$121,28,FALSE))*VLOOKUP(C68,'Machinery Input Tables'!$AH$6:$BA$32,19,FALSE))*D68,"-")</f>
        <v>0.17159999999999997</v>
      </c>
      <c r="F68" s="131">
        <f>IFERROR(IF(AND(ISBLANK(B68)*ISBLANK(C68)),"",IF(ISBLANK(B68),1,IF(VLOOKUP(B68,'Machinery Input Tables'!$B$6:$AF$121,13,FALSE)='Machinery Input Tables'!$N$128,VLOOKUP(B68,'Machinery Input Tables'!$B$6:$AF$121,17,FALSE),VLOOKUP(B68,'Machinery Input Tables'!$B$6:$AF$121,28,FALSE))))*D68,"-")</f>
        <v>3.15E-2</v>
      </c>
      <c r="G68" s="132">
        <f>IFERROR(IF(ISBLANK(C68),"",E68*'Machinery Input Tables'!$BP$10+F68*'Machinery Input Tables'!$BP$6+(VLOOKUP(C68,'Machinery Input Tables'!$AH$6:$BA$32,18,FALSE)*IF(IFERROR(VLOOKUP(B68,'Machinery Input Tables'!$B$6:$AF$121,13,FALSE)='Machinery Input Tables'!$N$128,1),1,VLOOKUP(B68,'Machinery Input Tables'!$B$6:$AF$121,28,FALSE))+IFERROR(VLOOKUP(B68,'Machinery Input Tables'!$B$6:$AF$121,27,FALSE),0))*D68),"-")</f>
        <v>1.7119003913284185</v>
      </c>
      <c r="H68" s="132">
        <f>IFERROR((IFERROR(VLOOKUP(B68,'Machinery Input Tables'!$B$6:$AF$121,24,FALSE),0)+VLOOKUP(C68,'Machinery Input Tables'!$AH$6:$BA$32,20,FALSE))*IF(IFERROR(VLOOKUP(B68,'Machinery Input Tables'!$B$6:$AF$121,13,FALSE)='Machinery Input Tables'!$N$128,1),1,VLOOKUP(B68,'Machinery Input Tables'!$B$6:$AF$121,28,FALSE))*D68,"-")</f>
        <v>1.3218188814446339</v>
      </c>
      <c r="I68" s="132">
        <f t="shared" si="2"/>
        <v>3.0337192727730526</v>
      </c>
    </row>
    <row r="69" spans="2:9">
      <c r="B69" s="129"/>
      <c r="C69" s="129" t="s">
        <v>695</v>
      </c>
      <c r="D69" s="130">
        <v>0.2</v>
      </c>
      <c r="E69" s="131">
        <f>IFERROR(IF(ISBLANK(C69),"",IF(OR(ISBLANK(B69),IFERROR(VLOOKUP(B69,'Machinery Input Tables'!$B$6:$AF$121,13,FALSE),"")='Machinery Input Tables'!$N$128),1,VLOOKUP(B69,'Machinery Input Tables'!$B$6:$AF$121,28,FALSE))*VLOOKUP(C69,'Machinery Input Tables'!$AH$6:$BA$32,19,FALSE))*D69,"-")</f>
        <v>0.60000000000000009</v>
      </c>
      <c r="F69" s="131">
        <f>IFERROR(IF(AND(ISBLANK(B69)*ISBLANK(C69)),"",IF(ISBLANK(B69),1,IF(VLOOKUP(B69,'Machinery Input Tables'!$B$6:$AF$121,13,FALSE)='Machinery Input Tables'!$N$128,VLOOKUP(B69,'Machinery Input Tables'!$B$6:$AF$121,17,FALSE),VLOOKUP(B69,'Machinery Input Tables'!$B$6:$AF$121,28,FALSE))))*D69,"-")</f>
        <v>0.2</v>
      </c>
      <c r="G69" s="132">
        <f>IFERROR(IF(ISBLANK(C69),"",E69*'Machinery Input Tables'!$BP$10+F69*'Machinery Input Tables'!$BP$6+(VLOOKUP(C69,'Machinery Input Tables'!$AH$6:$BA$32,18,FALSE)*IF(IFERROR(VLOOKUP(B69,'Machinery Input Tables'!$B$6:$AF$121,13,FALSE)='Machinery Input Tables'!$N$128,1),1,VLOOKUP(B69,'Machinery Input Tables'!$B$6:$AF$121,28,FALSE))+IFERROR(VLOOKUP(B69,'Machinery Input Tables'!$B$6:$AF$121,27,FALSE),0))*D69),"-")</f>
        <v>9.64</v>
      </c>
      <c r="H69" s="132">
        <f>IFERROR((IFERROR(VLOOKUP(B69,'Machinery Input Tables'!$B$6:$AF$121,24,FALSE),0)+VLOOKUP(C69,'Machinery Input Tables'!$AH$6:$BA$32,20,FALSE))*IF(IFERROR(VLOOKUP(B69,'Machinery Input Tables'!$B$6:$AF$121,13,FALSE)='Machinery Input Tables'!$N$128,1),1,VLOOKUP(B69,'Machinery Input Tables'!$B$6:$AF$121,28,FALSE))*D69,"-")</f>
        <v>3.9704783225926676</v>
      </c>
      <c r="I69" s="132">
        <f t="shared" si="2"/>
        <v>13.610478322592668</v>
      </c>
    </row>
    <row r="70" spans="2:9">
      <c r="B70" s="129" t="s">
        <v>791</v>
      </c>
      <c r="C70" s="129" t="s">
        <v>649</v>
      </c>
      <c r="D70" s="130">
        <v>1</v>
      </c>
      <c r="E70" s="131">
        <f>IFERROR(IF(ISBLANK(C70),"",IF(OR(ISBLANK(B70),IFERROR(VLOOKUP(B70,'Machinery Input Tables'!$B$6:$AF$121,13,FALSE),"")='Machinery Input Tables'!$N$128),1,VLOOKUP(B70,'Machinery Input Tables'!$B$6:$AF$121,28,FALSE))*VLOOKUP(C70,'Machinery Input Tables'!$AH$6:$BA$32,19,FALSE))*D70,"-")</f>
        <v>0.75624999999999998</v>
      </c>
      <c r="F70" s="131">
        <f>IFERROR(IF(AND(ISBLANK(B70)*ISBLANK(C70)),"",IF(ISBLANK(B70),1,IF(VLOOKUP(B70,'Machinery Input Tables'!$B$6:$AF$121,13,FALSE)='Machinery Input Tables'!$N$128,VLOOKUP(B70,'Machinery Input Tables'!$B$6:$AF$121,17,FALSE),VLOOKUP(B70,'Machinery Input Tables'!$B$6:$AF$121,28,FALSE))))*D70,"-")</f>
        <v>5.0551470588235295E-2</v>
      </c>
      <c r="G70" s="132">
        <f>IFERROR(IF(ISBLANK(C70),"",E70*'Machinery Input Tables'!$BP$10+F70*'Machinery Input Tables'!$BP$6+(VLOOKUP(C70,'Machinery Input Tables'!$AH$6:$BA$32,18,FALSE)*IF(IFERROR(VLOOKUP(B70,'Machinery Input Tables'!$B$6:$AF$121,13,FALSE)='Machinery Input Tables'!$N$128,1),1,VLOOKUP(B70,'Machinery Input Tables'!$B$6:$AF$121,28,FALSE))+IFERROR(VLOOKUP(B70,'Machinery Input Tables'!$B$6:$AF$121,27,FALSE),0))*D70),"-")</f>
        <v>6.8830324648862486</v>
      </c>
      <c r="H70" s="132">
        <f>IFERROR((IFERROR(VLOOKUP(B70,'Machinery Input Tables'!$B$6:$AF$121,24,FALSE),0)+VLOOKUP(C70,'Machinery Input Tables'!$AH$6:$BA$32,20,FALSE))*IF(IFERROR(VLOOKUP(B70,'Machinery Input Tables'!$B$6:$AF$121,13,FALSE)='Machinery Input Tables'!$N$128,1),1,VLOOKUP(B70,'Machinery Input Tables'!$B$6:$AF$121,28,FALSE))*D70,"-")</f>
        <v>10.586284507291365</v>
      </c>
      <c r="I70" s="132">
        <f t="shared" si="2"/>
        <v>17.469316972177616</v>
      </c>
    </row>
    <row r="71" spans="2:9">
      <c r="B71" s="129"/>
      <c r="C71" s="129"/>
      <c r="D71" s="130"/>
      <c r="E71" s="131" t="str">
        <f>IFERROR(IF(ISBLANK(C71),"",IF(OR(ISBLANK(B71),IFERROR(VLOOKUP(B71,'Machinery Input Tables'!$B$6:$AF$121,13,FALSE),"")='Machinery Input Tables'!$N$128),1,VLOOKUP(B71,'Machinery Input Tables'!$B$6:$AF$121,28,FALSE))*VLOOKUP(C71,'Machinery Input Tables'!$AH$6:$BA$32,19,FALSE))*D71,"-")</f>
        <v>-</v>
      </c>
      <c r="F71" s="131" t="str">
        <f>IFERROR(IF(AND(ISBLANK(B71)*ISBLANK(C71)),"",IF(ISBLANK(B71),1,IF(VLOOKUP(B71,'Machinery Input Tables'!$B$6:$AF$121,13,FALSE)='Machinery Input Tables'!$N$128,VLOOKUP(B71,'Machinery Input Tables'!$B$6:$AF$121,17,FALSE),VLOOKUP(B71,'Machinery Input Tables'!$B$6:$AF$121,28,FALSE))))*D71,"-")</f>
        <v>-</v>
      </c>
      <c r="G71" s="132" t="str">
        <f>IFERROR(IF(ISBLANK(C71),"",E71*'Machinery Input Tables'!$BP$10+F71*'Machinery Input Tables'!$BP$6+(VLOOKUP(C71,'Machinery Input Tables'!$AH$6:$BA$32,18,FALSE)*IF(IFERROR(VLOOKUP(B71,'Machinery Input Tables'!$B$6:$AF$121,13,FALSE)='Machinery Input Tables'!$N$128,1),1,VLOOKUP(B71,'Machinery Input Tables'!$B$6:$AF$121,28,FALSE))+IFERROR(VLOOKUP(B71,'Machinery Input Tables'!$B$6:$AF$121,27,FALSE),0))*D71),"-")</f>
        <v/>
      </c>
      <c r="H71" s="132" t="str">
        <f>IFERROR((IFERROR(VLOOKUP(B71,'Machinery Input Tables'!$B$6:$AF$121,24,FALSE),0)+VLOOKUP(C71,'Machinery Input Tables'!$AH$6:$BA$32,20,FALSE))*IF(IFERROR(VLOOKUP(B71,'Machinery Input Tables'!$B$6:$AF$121,13,FALSE)='Machinery Input Tables'!$N$128,1),1,VLOOKUP(B71,'Machinery Input Tables'!$B$6:$AF$121,28,FALSE))*D71,"-")</f>
        <v>-</v>
      </c>
      <c r="I71" s="132">
        <f t="shared" si="2"/>
        <v>0</v>
      </c>
    </row>
    <row r="72" spans="2:9">
      <c r="B72" s="129"/>
      <c r="C72" s="129"/>
      <c r="D72" s="130"/>
      <c r="E72" s="131" t="str">
        <f>IFERROR(IF(ISBLANK(C72),"",IF(OR(ISBLANK(B72),IFERROR(VLOOKUP(B72,'Machinery Input Tables'!$B$6:$AF$121,13,FALSE),"")='Machinery Input Tables'!$N$128),1,VLOOKUP(B72,'Machinery Input Tables'!$B$6:$AF$121,28,FALSE))*VLOOKUP(C72,'Machinery Input Tables'!$AH$6:$BA$32,19,FALSE))*D72,"-")</f>
        <v>-</v>
      </c>
      <c r="F72" s="131" t="str">
        <f>IFERROR(IF(AND(ISBLANK(B72)*ISBLANK(C72)),"",IF(ISBLANK(B72),1,IF(VLOOKUP(B72,'Machinery Input Tables'!$B$6:$AF$121,13,FALSE)='Machinery Input Tables'!$N$128,VLOOKUP(B72,'Machinery Input Tables'!$B$6:$AF$121,17,FALSE),VLOOKUP(B72,'Machinery Input Tables'!$B$6:$AF$121,28,FALSE))))*D72,"-")</f>
        <v>-</v>
      </c>
      <c r="G72" s="132" t="str">
        <f>IFERROR(IF(ISBLANK(C72),"",E72*'Machinery Input Tables'!$BP$10+F72*'Machinery Input Tables'!$BP$6+(VLOOKUP(C72,'Machinery Input Tables'!$AH$6:$BA$32,18,FALSE)*IF(IFERROR(VLOOKUP(B72,'Machinery Input Tables'!$B$6:$AF$121,13,FALSE)='Machinery Input Tables'!$N$128,1),1,VLOOKUP(B72,'Machinery Input Tables'!$B$6:$AF$121,28,FALSE))+IFERROR(VLOOKUP(B72,'Machinery Input Tables'!$B$6:$AF$121,27,FALSE),0))*D72),"-")</f>
        <v/>
      </c>
      <c r="H72" s="132" t="str">
        <f>IFERROR((IFERROR(VLOOKUP(B72,'Machinery Input Tables'!$B$6:$AF$121,24,FALSE),0)+VLOOKUP(C72,'Machinery Input Tables'!$AH$6:$BA$32,20,FALSE))*IF(IFERROR(VLOOKUP(B72,'Machinery Input Tables'!$B$6:$AF$121,13,FALSE)='Machinery Input Tables'!$N$128,1),1,VLOOKUP(B72,'Machinery Input Tables'!$B$6:$AF$121,28,FALSE))*D72,"-")</f>
        <v>-</v>
      </c>
      <c r="I72" s="132">
        <f t="shared" si="2"/>
        <v>0</v>
      </c>
    </row>
    <row r="73" spans="2:9">
      <c r="B73" s="133"/>
      <c r="C73" s="133"/>
      <c r="D73" s="134"/>
      <c r="E73" s="135" t="str">
        <f>IFERROR(IF(ISBLANK(C73),"",IF(OR(ISBLANK(B73),IFERROR(VLOOKUP(B73,'Machinery Input Tables'!$B$6:$AF$121,13,FALSE),"")='Machinery Input Tables'!$N$128),1,VLOOKUP(B73,'Machinery Input Tables'!$B$6:$AF$121,28,FALSE))*VLOOKUP(C73,'Machinery Input Tables'!$AH$6:$BA$32,19,FALSE))*D73,"-")</f>
        <v>-</v>
      </c>
      <c r="F73" s="135" t="str">
        <f>IFERROR(IF(AND(ISBLANK(B73)*ISBLANK(C73)),"",IF(ISBLANK(B73),1,IF(VLOOKUP(B73,'Machinery Input Tables'!$B$6:$AF$121,13,FALSE)='Machinery Input Tables'!$N$128,VLOOKUP(B73,'Machinery Input Tables'!$B$6:$AF$121,17,FALSE),VLOOKUP(B73,'Machinery Input Tables'!$B$6:$AF$121,28,FALSE))))*D73,"-")</f>
        <v>-</v>
      </c>
      <c r="G73" s="136" t="str">
        <f>IFERROR(IF(ISBLANK(C73),"",E73*'Machinery Input Tables'!$BP$10+F73*'Machinery Input Tables'!$BP$6+(VLOOKUP(C73,'Machinery Input Tables'!$AH$6:$BA$32,18,FALSE)*IF(IFERROR(VLOOKUP(B73,'Machinery Input Tables'!$B$6:$AF$121,13,FALSE)='Machinery Input Tables'!$N$128,1),1,VLOOKUP(B73,'Machinery Input Tables'!$B$6:$AF$121,28,FALSE))+IFERROR(VLOOKUP(B73,'Machinery Input Tables'!$B$6:$AF$121,27,FALSE),0))*D73),"-")</f>
        <v/>
      </c>
      <c r="H73" s="136" t="str">
        <f>IFERROR((IFERROR(VLOOKUP(B73,'Machinery Input Tables'!$B$6:$AF$121,24,FALSE),0)+VLOOKUP(C73,'Machinery Input Tables'!$AH$6:$BA$32,20,FALSE))*IF(IFERROR(VLOOKUP(B73,'Machinery Input Tables'!$B$6:$AF$121,13,FALSE)='Machinery Input Tables'!$N$128,1),1,VLOOKUP(B73,'Machinery Input Tables'!$B$6:$AF$121,28,FALSE))*D73,"-")</f>
        <v>-</v>
      </c>
      <c r="I73" s="136">
        <f t="shared" si="2"/>
        <v>0</v>
      </c>
    </row>
    <row r="74" spans="2:9">
      <c r="B74" s="126"/>
      <c r="C74" s="137" t="s">
        <v>19</v>
      </c>
      <c r="D74" s="138"/>
      <c r="E74" s="139">
        <f>SUM(E63:E73)</f>
        <v>5.3948291666666659</v>
      </c>
      <c r="F74" s="139">
        <f t="shared" ref="F74:I74" si="3">SUM(F63:F73)</f>
        <v>0.59184313725490201</v>
      </c>
      <c r="G74" s="140">
        <f t="shared" si="3"/>
        <v>59.397032236193915</v>
      </c>
      <c r="H74" s="140">
        <f t="shared" si="3"/>
        <v>63.270402610100938</v>
      </c>
      <c r="I74" s="140">
        <f t="shared" si="3"/>
        <v>122.66743484629487</v>
      </c>
    </row>
    <row r="75" spans="2:9">
      <c r="B75" s="141" t="s">
        <v>874</v>
      </c>
      <c r="C75" s="72"/>
      <c r="D75" s="72"/>
      <c r="E75" s="72"/>
      <c r="F75" s="72"/>
      <c r="G75" s="72"/>
      <c r="H75" s="72"/>
    </row>
    <row r="76" spans="2:9">
      <c r="B76" s="141" t="s">
        <v>875</v>
      </c>
      <c r="C76" s="72"/>
      <c r="D76" s="72"/>
      <c r="E76" s="72"/>
      <c r="F76" s="72"/>
      <c r="G76" s="72"/>
      <c r="H76" s="72"/>
    </row>
    <row r="77" spans="2:9">
      <c r="B77" s="72"/>
      <c r="C77" s="72"/>
      <c r="D77" s="72"/>
      <c r="E77" s="72"/>
      <c r="F77" s="72"/>
      <c r="G77" s="72"/>
      <c r="H77" s="72"/>
    </row>
    <row r="78" spans="2:9" hidden="1">
      <c r="B78" s="72"/>
      <c r="C78" s="72"/>
      <c r="D78" s="72"/>
      <c r="E78" s="72"/>
      <c r="F78" s="72"/>
      <c r="G78" s="72"/>
      <c r="H78" s="72"/>
    </row>
    <row r="79" spans="2:9" hidden="1">
      <c r="H79" s="72"/>
    </row>
    <row r="80" spans="2:9" hidden="1">
      <c r="H80" s="72"/>
    </row>
    <row r="81" spans="2:8" hidden="1">
      <c r="H81" s="72"/>
    </row>
    <row r="82" spans="2:8" hidden="1">
      <c r="H82" s="72"/>
    </row>
    <row r="83" spans="2:8" hidden="1">
      <c r="H83" s="72"/>
    </row>
    <row r="84" spans="2:8" hidden="1">
      <c r="H84" s="72"/>
    </row>
    <row r="85" spans="2:8" hidden="1">
      <c r="H85" s="72"/>
    </row>
    <row r="86" spans="2:8" hidden="1">
      <c r="H86" s="72"/>
    </row>
    <row r="87" spans="2:8" hidden="1">
      <c r="H87" s="72"/>
    </row>
    <row r="88" spans="2:8" hidden="1">
      <c r="H88" s="72"/>
    </row>
    <row r="89" spans="2:8" hidden="1">
      <c r="B89" s="72"/>
      <c r="C89" s="72"/>
      <c r="D89" s="72"/>
      <c r="E89" s="74" t="s">
        <v>803</v>
      </c>
      <c r="F89" s="142">
        <f>F47</f>
        <v>-151.02311226485685</v>
      </c>
      <c r="G89" s="72"/>
      <c r="H89" s="72"/>
    </row>
    <row r="90" spans="2:8" hidden="1">
      <c r="B90" s="72"/>
      <c r="C90" s="72"/>
      <c r="D90" s="72"/>
      <c r="E90" s="72"/>
      <c r="F90" s="72"/>
      <c r="G90" s="72"/>
      <c r="H90" s="72"/>
    </row>
    <row r="91" spans="2:8" hidden="1">
      <c r="H91" s="72"/>
    </row>
    <row r="92" spans="2:8" hidden="1">
      <c r="H92" s="72"/>
    </row>
    <row r="93" spans="2:8" hidden="1">
      <c r="H93" s="72"/>
    </row>
    <row r="94" spans="2:8" hidden="1">
      <c r="H94" s="72"/>
    </row>
    <row r="105" spans="8:8" hidden="1">
      <c r="H105" s="72"/>
    </row>
    <row r="106" spans="8:8" hidden="1">
      <c r="H106" s="72"/>
    </row>
    <row r="934" spans="2:3" hidden="1">
      <c r="B934" s="3" t="s">
        <v>41</v>
      </c>
    </row>
    <row r="935" spans="2:3" hidden="1">
      <c r="B935" s="3" t="s">
        <v>42</v>
      </c>
      <c r="C935" s="3">
        <v>5</v>
      </c>
    </row>
    <row r="936" spans="2:3" hidden="1">
      <c r="B936" s="3" t="s">
        <v>43</v>
      </c>
      <c r="C936" s="3">
        <v>1</v>
      </c>
    </row>
    <row r="937" spans="2:3" hidden="1">
      <c r="B937" s="3" t="s">
        <v>44</v>
      </c>
      <c r="C937" s="3">
        <v>1</v>
      </c>
    </row>
    <row r="938" spans="2:3" hidden="1">
      <c r="B938" s="3" t="s">
        <v>45</v>
      </c>
      <c r="C938" s="3">
        <v>2</v>
      </c>
    </row>
    <row r="939" spans="2:3" hidden="1">
      <c r="B939" s="3" t="s">
        <v>46</v>
      </c>
      <c r="C939" s="3">
        <v>1</v>
      </c>
    </row>
    <row r="940" spans="2:3" hidden="1">
      <c r="B940" s="3" t="s">
        <v>47</v>
      </c>
      <c r="C940" s="3">
        <v>0</v>
      </c>
    </row>
    <row r="941" spans="2:3" hidden="1">
      <c r="B941" s="3" t="s">
        <v>48</v>
      </c>
      <c r="C941" s="3">
        <v>0</v>
      </c>
    </row>
    <row r="942" spans="2:3" hidden="1">
      <c r="B942" s="3" t="s">
        <v>49</v>
      </c>
      <c r="C942" s="3">
        <v>0</v>
      </c>
    </row>
    <row r="943" spans="2:3" hidden="1">
      <c r="B943" s="3" t="s">
        <v>50</v>
      </c>
      <c r="C943" s="3">
        <v>0</v>
      </c>
    </row>
    <row r="944" spans="2:3" hidden="1">
      <c r="B944" s="3" t="s">
        <v>51</v>
      </c>
      <c r="C944" s="3">
        <v>0</v>
      </c>
    </row>
    <row r="945" spans="2:3" hidden="1">
      <c r="B945" s="3" t="s">
        <v>52</v>
      </c>
      <c r="C945" s="3">
        <v>0</v>
      </c>
    </row>
    <row r="946" spans="2:3" hidden="1">
      <c r="B946" s="3" t="s">
        <v>53</v>
      </c>
      <c r="C946" s="3" t="b">
        <v>1</v>
      </c>
    </row>
    <row r="947" spans="2:3" hidden="1">
      <c r="B947" s="3" t="s">
        <v>54</v>
      </c>
      <c r="C947" s="3">
        <v>0</v>
      </c>
    </row>
    <row r="948" spans="2:3" hidden="1">
      <c r="B948" s="3" t="s">
        <v>55</v>
      </c>
      <c r="C948" s="3" t="b">
        <v>1</v>
      </c>
    </row>
    <row r="949" spans="2:3" hidden="1">
      <c r="B949" s="3" t="s">
        <v>56</v>
      </c>
      <c r="C949" s="3">
        <v>0</v>
      </c>
    </row>
    <row r="950" spans="2:3" hidden="1">
      <c r="B950" s="3" t="s">
        <v>57</v>
      </c>
      <c r="C950" s="3">
        <v>0</v>
      </c>
    </row>
    <row r="951" spans="2:3" hidden="1">
      <c r="B951" s="3" t="s">
        <v>58</v>
      </c>
      <c r="C951" s="3" t="b">
        <v>1</v>
      </c>
    </row>
    <row r="952" spans="2:3" hidden="1">
      <c r="B952" s="3" t="s">
        <v>59</v>
      </c>
      <c r="C952" s="3">
        <v>0</v>
      </c>
    </row>
    <row r="953" spans="2:3" hidden="1">
      <c r="B953" s="3" t="s">
        <v>60</v>
      </c>
      <c r="C953" s="3">
        <v>0</v>
      </c>
    </row>
    <row r="954" spans="2:3" hidden="1">
      <c r="B954" s="3" t="s">
        <v>61</v>
      </c>
      <c r="C954" s="3">
        <v>0</v>
      </c>
    </row>
    <row r="955" spans="2:3" hidden="1">
      <c r="B955" s="3" t="s">
        <v>62</v>
      </c>
      <c r="C955" s="3">
        <v>0</v>
      </c>
    </row>
    <row r="956" spans="2:3" hidden="1">
      <c r="B956" s="3" t="s">
        <v>63</v>
      </c>
      <c r="C956" s="3" t="s">
        <v>358</v>
      </c>
    </row>
    <row r="957" spans="2:3" hidden="1">
      <c r="B957" s="3" t="s">
        <v>64</v>
      </c>
      <c r="C957" s="3">
        <v>100</v>
      </c>
    </row>
    <row r="958" spans="2:3" hidden="1">
      <c r="B958" s="3" t="s">
        <v>65</v>
      </c>
      <c r="C958" s="3">
        <v>25</v>
      </c>
    </row>
    <row r="959" spans="2:3" hidden="1">
      <c r="B959" s="3" t="s">
        <v>66</v>
      </c>
      <c r="C959" s="3">
        <v>9</v>
      </c>
    </row>
    <row r="960" spans="2:3" hidden="1">
      <c r="B960" s="3" t="s">
        <v>67</v>
      </c>
      <c r="C960" s="3">
        <v>0</v>
      </c>
    </row>
    <row r="961" spans="2:3" hidden="1">
      <c r="B961" s="3" t="s">
        <v>68</v>
      </c>
      <c r="C961" s="3">
        <v>0</v>
      </c>
    </row>
    <row r="962" spans="2:3" hidden="1">
      <c r="B962" s="3" t="s">
        <v>69</v>
      </c>
      <c r="C962" s="3">
        <v>0</v>
      </c>
    </row>
    <row r="963" spans="2:3" hidden="1">
      <c r="B963" s="3" t="s">
        <v>70</v>
      </c>
      <c r="C963" s="3">
        <v>0</v>
      </c>
    </row>
    <row r="964" spans="2:3" hidden="1">
      <c r="B964" s="3" t="s">
        <v>71</v>
      </c>
      <c r="C964" s="3">
        <v>0</v>
      </c>
    </row>
    <row r="965" spans="2:3" hidden="1">
      <c r="B965" s="3" t="s">
        <v>72</v>
      </c>
      <c r="C965" s="3">
        <v>60</v>
      </c>
    </row>
    <row r="966" spans="2:3" hidden="1">
      <c r="B966" s="3" t="s">
        <v>73</v>
      </c>
      <c r="C966" s="3">
        <v>0</v>
      </c>
    </row>
    <row r="967" spans="2:3" hidden="1">
      <c r="B967" s="3" t="s">
        <v>74</v>
      </c>
      <c r="C967" s="3">
        <v>0</v>
      </c>
    </row>
    <row r="968" spans="2:3" hidden="1">
      <c r="B968" s="3" t="s">
        <v>75</v>
      </c>
      <c r="C968" s="3">
        <v>0</v>
      </c>
    </row>
    <row r="969" spans="2:3" hidden="1">
      <c r="B969" s="3" t="s">
        <v>76</v>
      </c>
      <c r="C969" s="3">
        <v>0</v>
      </c>
    </row>
    <row r="970" spans="2:3" hidden="1">
      <c r="B970" s="3" t="s">
        <v>77</v>
      </c>
      <c r="C970" s="3">
        <v>0</v>
      </c>
    </row>
    <row r="971" spans="2:3" hidden="1">
      <c r="B971" s="3" t="s">
        <v>78</v>
      </c>
      <c r="C971" s="3">
        <v>200000</v>
      </c>
    </row>
    <row r="972" spans="2:3" hidden="1">
      <c r="B972" s="3" t="s">
        <v>79</v>
      </c>
      <c r="C972" s="3">
        <v>0</v>
      </c>
    </row>
    <row r="973" spans="2:3" hidden="1">
      <c r="B973" s="3" t="s">
        <v>80</v>
      </c>
      <c r="C973" s="3">
        <v>0</v>
      </c>
    </row>
    <row r="974" spans="2:3" hidden="1">
      <c r="B974" s="3" t="s">
        <v>81</v>
      </c>
      <c r="C974" s="3">
        <v>0</v>
      </c>
    </row>
    <row r="975" spans="2:3" hidden="1">
      <c r="B975" s="3" t="s">
        <v>82</v>
      </c>
      <c r="C975" s="3">
        <v>0</v>
      </c>
    </row>
    <row r="976" spans="2:3" hidden="1">
      <c r="B976" s="3" t="s">
        <v>83</v>
      </c>
      <c r="C976" s="3">
        <v>0</v>
      </c>
    </row>
    <row r="977" spans="2:3" hidden="1">
      <c r="B977" s="3" t="s">
        <v>84</v>
      </c>
      <c r="C977" s="3">
        <v>0</v>
      </c>
    </row>
    <row r="978" spans="2:3" hidden="1">
      <c r="B978" s="3" t="s">
        <v>85</v>
      </c>
      <c r="C978" s="3">
        <v>0</v>
      </c>
    </row>
    <row r="979" spans="2:3" hidden="1">
      <c r="B979" s="3" t="s">
        <v>86</v>
      </c>
      <c r="C979" s="3">
        <v>20</v>
      </c>
    </row>
    <row r="980" spans="2:3" hidden="1">
      <c r="B980" s="3" t="s">
        <v>87</v>
      </c>
      <c r="C980" s="3">
        <v>35</v>
      </c>
    </row>
    <row r="981" spans="2:3" hidden="1">
      <c r="B981" s="3" t="s">
        <v>88</v>
      </c>
      <c r="C981" s="3">
        <v>0</v>
      </c>
    </row>
    <row r="982" spans="2:3" hidden="1">
      <c r="B982" s="3" t="s">
        <v>89</v>
      </c>
      <c r="C982" s="3">
        <v>0</v>
      </c>
    </row>
    <row r="983" spans="2:3" hidden="1">
      <c r="B983" s="3" t="s">
        <v>90</v>
      </c>
      <c r="C983" s="3">
        <v>0</v>
      </c>
    </row>
    <row r="984" spans="2:3" hidden="1">
      <c r="B984" s="3" t="s">
        <v>91</v>
      </c>
      <c r="C984" s="3">
        <v>0</v>
      </c>
    </row>
    <row r="985" spans="2:3" hidden="1">
      <c r="B985" s="3" t="s">
        <v>92</v>
      </c>
      <c r="C985" s="3">
        <v>0</v>
      </c>
    </row>
    <row r="986" spans="2:3" hidden="1">
      <c r="B986" s="3" t="s">
        <v>93</v>
      </c>
      <c r="C986" s="3">
        <v>0</v>
      </c>
    </row>
    <row r="987" spans="2:3" hidden="1">
      <c r="B987" s="3" t="s">
        <v>94</v>
      </c>
      <c r="C987" s="3">
        <v>0.49</v>
      </c>
    </row>
    <row r="988" spans="2:3" hidden="1">
      <c r="B988" s="3" t="s">
        <v>95</v>
      </c>
      <c r="C988" s="3">
        <v>0.4</v>
      </c>
    </row>
    <row r="989" spans="2:3" hidden="1">
      <c r="B989" s="3" t="s">
        <v>96</v>
      </c>
      <c r="C989" s="3">
        <v>0</v>
      </c>
    </row>
    <row r="990" spans="2:3" hidden="1">
      <c r="B990" s="3" t="s">
        <v>97</v>
      </c>
      <c r="C990" s="3">
        <v>0</v>
      </c>
    </row>
    <row r="991" spans="2:3" hidden="1">
      <c r="B991" s="3" t="s">
        <v>98</v>
      </c>
      <c r="C991" s="3">
        <v>0</v>
      </c>
    </row>
    <row r="992" spans="2:3" hidden="1">
      <c r="B992" s="3" t="s">
        <v>99</v>
      </c>
      <c r="C992" s="3">
        <v>0</v>
      </c>
    </row>
    <row r="993" spans="2:3" hidden="1">
      <c r="B993" s="3" t="s">
        <v>100</v>
      </c>
      <c r="C993" s="3">
        <v>0</v>
      </c>
    </row>
    <row r="994" spans="2:3" hidden="1">
      <c r="B994" s="3" t="s">
        <v>101</v>
      </c>
      <c r="C994" s="3">
        <v>0</v>
      </c>
    </row>
    <row r="995" spans="2:3" hidden="1">
      <c r="B995" s="3" t="s">
        <v>102</v>
      </c>
      <c r="C995" s="3">
        <v>1</v>
      </c>
    </row>
    <row r="996" spans="2:3" hidden="1">
      <c r="B996" s="3" t="s">
        <v>103</v>
      </c>
      <c r="C996" s="3">
        <v>0</v>
      </c>
    </row>
    <row r="997" spans="2:3" hidden="1">
      <c r="B997" s="3" t="s">
        <v>104</v>
      </c>
      <c r="C997" s="3">
        <v>0</v>
      </c>
    </row>
    <row r="998" spans="2:3" hidden="1">
      <c r="B998" s="3" t="s">
        <v>105</v>
      </c>
      <c r="C998" s="3">
        <v>1</v>
      </c>
    </row>
    <row r="999" spans="2:3" hidden="1">
      <c r="B999" s="3" t="s">
        <v>106</v>
      </c>
      <c r="C999" s="3">
        <v>0</v>
      </c>
    </row>
    <row r="1000" spans="2:3" hidden="1">
      <c r="B1000" s="3" t="s">
        <v>107</v>
      </c>
      <c r="C1000" s="3">
        <v>0</v>
      </c>
    </row>
    <row r="1001" spans="2:3" hidden="1">
      <c r="B1001" s="3" t="s">
        <v>108</v>
      </c>
      <c r="C1001" s="3">
        <v>0</v>
      </c>
    </row>
    <row r="1002" spans="2:3" hidden="1">
      <c r="B1002" s="3" t="s">
        <v>109</v>
      </c>
      <c r="C1002" s="3">
        <v>0</v>
      </c>
    </row>
    <row r="1003" spans="2:3" hidden="1">
      <c r="B1003" s="3" t="s">
        <v>110</v>
      </c>
      <c r="C1003" s="3">
        <v>8.75</v>
      </c>
    </row>
    <row r="1004" spans="2:3" hidden="1">
      <c r="B1004" s="3" t="s">
        <v>111</v>
      </c>
      <c r="C1004" s="3">
        <v>0</v>
      </c>
    </row>
    <row r="1005" spans="2:3" hidden="1">
      <c r="B1005" s="3" t="s">
        <v>112</v>
      </c>
      <c r="C1005" s="3">
        <v>0</v>
      </c>
    </row>
    <row r="1006" spans="2:3" hidden="1">
      <c r="B1006" s="3" t="s">
        <v>113</v>
      </c>
      <c r="C1006" s="3">
        <v>0</v>
      </c>
    </row>
    <row r="1007" spans="2:3" hidden="1">
      <c r="B1007" s="3" t="s">
        <v>114</v>
      </c>
      <c r="C1007" s="3">
        <v>0</v>
      </c>
    </row>
    <row r="1008" spans="2:3" hidden="1">
      <c r="B1008" s="3" t="s">
        <v>115</v>
      </c>
      <c r="C1008" s="3">
        <v>0</v>
      </c>
    </row>
    <row r="1009" spans="2:3" hidden="1">
      <c r="B1009" s="3" t="s">
        <v>116</v>
      </c>
      <c r="C1009" s="3">
        <v>0</v>
      </c>
    </row>
    <row r="1010" spans="2:3" hidden="1">
      <c r="B1010" s="3" t="s">
        <v>117</v>
      </c>
      <c r="C1010" s="3">
        <v>0</v>
      </c>
    </row>
    <row r="1011" spans="2:3" hidden="1">
      <c r="B1011" s="3" t="s">
        <v>118</v>
      </c>
      <c r="C1011" s="3">
        <v>0</v>
      </c>
    </row>
    <row r="1012" spans="2:3" hidden="1">
      <c r="B1012" s="3" t="s">
        <v>119</v>
      </c>
      <c r="C1012" s="3">
        <v>0</v>
      </c>
    </row>
    <row r="1013" spans="2:3" hidden="1">
      <c r="B1013" s="3" t="s">
        <v>120</v>
      </c>
      <c r="C1013" s="3">
        <v>0</v>
      </c>
    </row>
    <row r="1014" spans="2:3" hidden="1">
      <c r="B1014" s="3" t="s">
        <v>121</v>
      </c>
      <c r="C1014" s="3">
        <v>0</v>
      </c>
    </row>
    <row r="1015" spans="2:3" hidden="1">
      <c r="B1015" s="3" t="s">
        <v>122</v>
      </c>
      <c r="C1015" s="3">
        <v>0</v>
      </c>
    </row>
    <row r="1016" spans="2:3" hidden="1">
      <c r="B1016" s="3" t="s">
        <v>123</v>
      </c>
      <c r="C1016" s="3">
        <v>0</v>
      </c>
    </row>
    <row r="1017" spans="2:3" hidden="1">
      <c r="B1017" s="3" t="s">
        <v>124</v>
      </c>
      <c r="C1017" s="3">
        <v>0</v>
      </c>
    </row>
    <row r="1018" spans="2:3" hidden="1">
      <c r="B1018" s="3" t="s">
        <v>125</v>
      </c>
      <c r="C1018" s="3">
        <v>0.5</v>
      </c>
    </row>
    <row r="1019" spans="2:3" hidden="1">
      <c r="B1019" s="3" t="s">
        <v>126</v>
      </c>
      <c r="C1019" s="3">
        <v>13.5</v>
      </c>
    </row>
    <row r="1020" spans="2:3" hidden="1">
      <c r="B1020" s="3" t="s">
        <v>127</v>
      </c>
      <c r="C1020" s="3">
        <v>18</v>
      </c>
    </row>
    <row r="1021" spans="2:3" hidden="1">
      <c r="B1021" s="3" t="s">
        <v>128</v>
      </c>
      <c r="C1021" s="3">
        <v>0</v>
      </c>
    </row>
    <row r="1022" spans="2:3" hidden="1">
      <c r="B1022" s="3" t="s">
        <v>129</v>
      </c>
      <c r="C1022" s="3">
        <v>0</v>
      </c>
    </row>
    <row r="1023" spans="2:3" hidden="1">
      <c r="B1023" s="3" t="s">
        <v>130</v>
      </c>
      <c r="C1023" s="3">
        <v>0</v>
      </c>
    </row>
    <row r="1024" spans="2:3" hidden="1">
      <c r="B1024" s="3" t="s">
        <v>131</v>
      </c>
      <c r="C1024" s="3">
        <v>3600</v>
      </c>
    </row>
    <row r="1025" spans="2:3" hidden="1">
      <c r="B1025" s="3" t="s">
        <v>132</v>
      </c>
      <c r="C1025" s="3">
        <v>0</v>
      </c>
    </row>
    <row r="1026" spans="2:3" hidden="1">
      <c r="B1026" s="3" t="s">
        <v>133</v>
      </c>
      <c r="C1026" s="3">
        <v>0</v>
      </c>
    </row>
    <row r="1027" spans="2:3" hidden="1">
      <c r="B1027" s="3" t="s">
        <v>134</v>
      </c>
      <c r="C1027" s="3">
        <v>0</v>
      </c>
    </row>
    <row r="1028" spans="2:3" hidden="1">
      <c r="B1028" s="3" t="s">
        <v>135</v>
      </c>
      <c r="C1028" s="3">
        <v>0</v>
      </c>
    </row>
    <row r="1029" spans="2:3" hidden="1">
      <c r="B1029" s="3" t="s">
        <v>136</v>
      </c>
      <c r="C1029" s="3">
        <v>6</v>
      </c>
    </row>
    <row r="1030" spans="2:3" hidden="1">
      <c r="B1030" s="3" t="s">
        <v>137</v>
      </c>
      <c r="C1030" s="3">
        <v>3.65</v>
      </c>
    </row>
    <row r="1031" spans="2:3" hidden="1">
      <c r="B1031" s="3" t="s">
        <v>138</v>
      </c>
      <c r="C1031" s="3">
        <v>3.38</v>
      </c>
    </row>
    <row r="1032" spans="2:3" hidden="1">
      <c r="B1032" s="3" t="s">
        <v>139</v>
      </c>
      <c r="C1032" s="3">
        <v>0</v>
      </c>
    </row>
    <row r="1033" spans="2:3" hidden="1">
      <c r="B1033" s="3" t="s">
        <v>140</v>
      </c>
      <c r="C1033" s="3">
        <v>0</v>
      </c>
    </row>
    <row r="1034" spans="2:3" hidden="1">
      <c r="B1034" s="3" t="s">
        <v>141</v>
      </c>
      <c r="C1034" s="3">
        <v>0</v>
      </c>
    </row>
    <row r="1035" spans="2:3" hidden="1">
      <c r="B1035" s="3" t="s">
        <v>142</v>
      </c>
      <c r="C1035" s="3">
        <v>0</v>
      </c>
    </row>
    <row r="1036" spans="2:3" hidden="1">
      <c r="B1036" s="3" t="s">
        <v>143</v>
      </c>
      <c r="C1036" s="3">
        <v>0</v>
      </c>
    </row>
    <row r="1037" spans="2:3" hidden="1">
      <c r="B1037" s="3" t="s">
        <v>144</v>
      </c>
      <c r="C1037" s="3">
        <v>0</v>
      </c>
    </row>
    <row r="1038" spans="2:3" hidden="1">
      <c r="B1038" s="3" t="s">
        <v>145</v>
      </c>
      <c r="C1038" s="3">
        <v>0</v>
      </c>
    </row>
    <row r="1039" spans="2:3" hidden="1">
      <c r="B1039" s="3" t="s">
        <v>146</v>
      </c>
      <c r="C1039" s="3">
        <v>0</v>
      </c>
    </row>
    <row r="1040" spans="2:3" hidden="1">
      <c r="B1040" s="3" t="s">
        <v>147</v>
      </c>
      <c r="C1040" s="3">
        <v>0</v>
      </c>
    </row>
    <row r="1041" spans="2:3" hidden="1">
      <c r="B1041" s="3" t="s">
        <v>148</v>
      </c>
      <c r="C1041" s="3">
        <v>5</v>
      </c>
    </row>
    <row r="1042" spans="2:3" hidden="1">
      <c r="B1042" s="3" t="s">
        <v>149</v>
      </c>
      <c r="C1042" s="3">
        <v>0</v>
      </c>
    </row>
    <row r="1043" spans="2:3" hidden="1">
      <c r="B1043" s="3" t="s">
        <v>150</v>
      </c>
      <c r="C1043" s="3">
        <v>0</v>
      </c>
    </row>
    <row r="1044" spans="2:3" hidden="1">
      <c r="B1044" s="3" t="s">
        <v>151</v>
      </c>
      <c r="C1044" s="3">
        <v>0</v>
      </c>
    </row>
    <row r="1045" spans="2:3" hidden="1">
      <c r="B1045" s="3" t="s">
        <v>152</v>
      </c>
      <c r="C1045" s="3">
        <v>6800</v>
      </c>
    </row>
    <row r="1046" spans="2:3" hidden="1">
      <c r="B1046" s="3" t="s">
        <v>153</v>
      </c>
      <c r="C1046" s="3">
        <v>0</v>
      </c>
    </row>
    <row r="1047" spans="2:3" hidden="1">
      <c r="B1047" s="3" t="s">
        <v>154</v>
      </c>
      <c r="C1047" s="3">
        <v>0</v>
      </c>
    </row>
    <row r="1048" spans="2:3" hidden="1">
      <c r="B1048" s="3" t="s">
        <v>155</v>
      </c>
      <c r="C1048" s="3">
        <v>8500</v>
      </c>
    </row>
    <row r="1049" spans="2:3" hidden="1">
      <c r="B1049" s="3" t="s">
        <v>156</v>
      </c>
      <c r="C1049" s="3">
        <v>0</v>
      </c>
    </row>
    <row r="1050" spans="2:3" hidden="1">
      <c r="B1050" s="3" t="s">
        <v>157</v>
      </c>
      <c r="C1050" s="3">
        <v>15000</v>
      </c>
    </row>
    <row r="1051" spans="2:3" hidden="1">
      <c r="B1051" s="3" t="s">
        <v>158</v>
      </c>
      <c r="C1051" s="3">
        <v>3</v>
      </c>
    </row>
    <row r="1052" spans="2:3" hidden="1">
      <c r="B1052" s="3" t="s">
        <v>159</v>
      </c>
      <c r="C1052" s="3">
        <v>0</v>
      </c>
    </row>
    <row r="1053" spans="2:3" hidden="1">
      <c r="B1053" s="3" t="s">
        <v>160</v>
      </c>
      <c r="C1053" s="3">
        <v>0</v>
      </c>
    </row>
    <row r="1054" spans="2:3" hidden="1">
      <c r="B1054" s="3" t="s">
        <v>161</v>
      </c>
      <c r="C1054" s="3">
        <v>0</v>
      </c>
    </row>
    <row r="1055" spans="2:3" hidden="1">
      <c r="B1055" s="3" t="s">
        <v>162</v>
      </c>
      <c r="C1055" s="3">
        <v>0</v>
      </c>
    </row>
    <row r="1056" spans="2:3" hidden="1">
      <c r="B1056" s="3" t="s">
        <v>163</v>
      </c>
      <c r="C1056" s="3">
        <v>0</v>
      </c>
    </row>
    <row r="1057" spans="2:3" hidden="1">
      <c r="B1057" s="3" t="s">
        <v>164</v>
      </c>
      <c r="C1057" s="3">
        <v>0</v>
      </c>
    </row>
    <row r="1058" spans="2:3" hidden="1">
      <c r="B1058" s="3" t="s">
        <v>165</v>
      </c>
      <c r="C1058" s="3">
        <v>0</v>
      </c>
    </row>
    <row r="1059" spans="2:3" hidden="1">
      <c r="B1059" s="3" t="s">
        <v>166</v>
      </c>
      <c r="C1059" s="3">
        <v>0</v>
      </c>
    </row>
    <row r="1060" spans="2:3" hidden="1">
      <c r="B1060" s="3" t="s">
        <v>167</v>
      </c>
      <c r="C1060" s="3">
        <v>0</v>
      </c>
    </row>
    <row r="1061" spans="2:3" hidden="1">
      <c r="B1061" s="3" t="s">
        <v>168</v>
      </c>
      <c r="C1061" s="3">
        <v>0</v>
      </c>
    </row>
    <row r="1062" spans="2:3" hidden="1">
      <c r="B1062" s="3" t="s">
        <v>169</v>
      </c>
      <c r="C1062" s="3">
        <v>0</v>
      </c>
    </row>
    <row r="1063" spans="2:3" hidden="1">
      <c r="B1063" s="3" t="s">
        <v>170</v>
      </c>
      <c r="C1063" s="3">
        <v>0</v>
      </c>
    </row>
    <row r="1064" spans="2:3" hidden="1">
      <c r="B1064" s="3" t="s">
        <v>171</v>
      </c>
      <c r="C1064" s="3">
        <v>0</v>
      </c>
    </row>
    <row r="1065" spans="2:3" hidden="1">
      <c r="B1065" s="3" t="s">
        <v>172</v>
      </c>
      <c r="C1065" s="3">
        <v>0</v>
      </c>
    </row>
    <row r="1066" spans="2:3" hidden="1">
      <c r="B1066" s="3" t="s">
        <v>173</v>
      </c>
      <c r="C1066" s="3">
        <v>0</v>
      </c>
    </row>
    <row r="1067" spans="2:3" hidden="1">
      <c r="B1067" s="3" t="s">
        <v>174</v>
      </c>
      <c r="C1067" s="3">
        <v>0</v>
      </c>
    </row>
    <row r="1068" spans="2:3" hidden="1">
      <c r="B1068" s="3" t="s">
        <v>175</v>
      </c>
      <c r="C1068" s="3">
        <v>0</v>
      </c>
    </row>
    <row r="1069" spans="2:3" hidden="1">
      <c r="B1069" s="3" t="s">
        <v>176</v>
      </c>
      <c r="C1069" s="3">
        <v>0</v>
      </c>
    </row>
    <row r="1070" spans="2:3" hidden="1">
      <c r="B1070" s="3" t="s">
        <v>177</v>
      </c>
      <c r="C1070" s="3">
        <v>0</v>
      </c>
    </row>
    <row r="1071" spans="2:3" hidden="1">
      <c r="B1071" s="3" t="s">
        <v>178</v>
      </c>
      <c r="C1071" s="3">
        <v>0</v>
      </c>
    </row>
    <row r="1072" spans="2:3" hidden="1">
      <c r="B1072" s="3" t="s">
        <v>179</v>
      </c>
      <c r="C1072" s="3">
        <v>0</v>
      </c>
    </row>
    <row r="1073" spans="2:3" hidden="1">
      <c r="B1073" s="3" t="s">
        <v>180</v>
      </c>
      <c r="C1073" s="3">
        <v>0</v>
      </c>
    </row>
    <row r="1074" spans="2:3" hidden="1">
      <c r="B1074" s="3" t="s">
        <v>181</v>
      </c>
      <c r="C1074" s="3">
        <v>0</v>
      </c>
    </row>
    <row r="1075" spans="2:3" hidden="1">
      <c r="B1075" s="3" t="s">
        <v>182</v>
      </c>
      <c r="C1075" s="3">
        <v>0</v>
      </c>
    </row>
    <row r="1076" spans="2:3" hidden="1">
      <c r="B1076" s="3" t="s">
        <v>183</v>
      </c>
      <c r="C1076" s="3">
        <v>0</v>
      </c>
    </row>
    <row r="1077" spans="2:3" hidden="1">
      <c r="B1077" s="3" t="s">
        <v>184</v>
      </c>
      <c r="C1077" s="3">
        <v>0</v>
      </c>
    </row>
    <row r="1078" spans="2:3" hidden="1">
      <c r="B1078" s="3" t="s">
        <v>185</v>
      </c>
      <c r="C1078" s="3">
        <v>0</v>
      </c>
    </row>
    <row r="1079" spans="2:3" hidden="1">
      <c r="B1079" s="3" t="s">
        <v>186</v>
      </c>
      <c r="C1079" s="3">
        <v>0</v>
      </c>
    </row>
    <row r="1080" spans="2:3" hidden="1">
      <c r="B1080" s="3" t="s">
        <v>187</v>
      </c>
      <c r="C1080" s="3">
        <v>0</v>
      </c>
    </row>
    <row r="1081" spans="2:3" hidden="1">
      <c r="B1081" s="3" t="s">
        <v>188</v>
      </c>
      <c r="C1081" s="3">
        <v>0</v>
      </c>
    </row>
    <row r="1082" spans="2:3" hidden="1">
      <c r="B1082" s="3" t="s">
        <v>189</v>
      </c>
      <c r="C1082" s="3">
        <v>0</v>
      </c>
    </row>
    <row r="1083" spans="2:3" hidden="1">
      <c r="B1083" s="3" t="s">
        <v>190</v>
      </c>
      <c r="C1083" s="3">
        <v>0</v>
      </c>
    </row>
    <row r="1084" spans="2:3" hidden="1">
      <c r="B1084" s="3" t="s">
        <v>191</v>
      </c>
      <c r="C1084" s="3" t="s">
        <v>192</v>
      </c>
    </row>
    <row r="1085" spans="2:3" hidden="1">
      <c r="B1085" s="3" t="s">
        <v>193</v>
      </c>
      <c r="C1085" s="3" t="s">
        <v>194</v>
      </c>
    </row>
    <row r="1086" spans="2:3" hidden="1">
      <c r="B1086" s="3" t="s">
        <v>195</v>
      </c>
      <c r="C1086" s="3" t="s">
        <v>196</v>
      </c>
    </row>
    <row r="1087" spans="2:3" hidden="1">
      <c r="B1087" s="3" t="s">
        <v>197</v>
      </c>
      <c r="C1087" s="3" t="s">
        <v>198</v>
      </c>
    </row>
    <row r="1088" spans="2:3" hidden="1">
      <c r="B1088" s="3" t="s">
        <v>199</v>
      </c>
      <c r="C1088" s="3" t="s">
        <v>200</v>
      </c>
    </row>
    <row r="1089" spans="2:3" hidden="1">
      <c r="B1089" s="3" t="s">
        <v>201</v>
      </c>
      <c r="C1089" s="3" t="s">
        <v>202</v>
      </c>
    </row>
    <row r="1090" spans="2:3" hidden="1">
      <c r="B1090" s="3" t="s">
        <v>203</v>
      </c>
      <c r="C1090" s="3" t="s">
        <v>204</v>
      </c>
    </row>
    <row r="1091" spans="2:3" hidden="1">
      <c r="B1091" s="3" t="s">
        <v>205</v>
      </c>
      <c r="C1091" s="3" t="s">
        <v>206</v>
      </c>
    </row>
    <row r="1092" spans="2:3" hidden="1">
      <c r="B1092" s="3" t="s">
        <v>207</v>
      </c>
      <c r="C1092" s="3" t="s">
        <v>208</v>
      </c>
    </row>
    <row r="1093" spans="2:3" hidden="1">
      <c r="B1093" s="3" t="s">
        <v>209</v>
      </c>
      <c r="C1093" s="3" t="s">
        <v>210</v>
      </c>
    </row>
    <row r="1094" spans="2:3" hidden="1">
      <c r="B1094" s="3" t="s">
        <v>211</v>
      </c>
      <c r="C1094" s="3" t="s">
        <v>212</v>
      </c>
    </row>
    <row r="1095" spans="2:3" hidden="1">
      <c r="B1095" s="3" t="s">
        <v>213</v>
      </c>
      <c r="C1095" s="3" t="s">
        <v>214</v>
      </c>
    </row>
    <row r="1096" spans="2:3" hidden="1">
      <c r="B1096" s="3" t="s">
        <v>215</v>
      </c>
      <c r="C1096" s="3" t="s">
        <v>212</v>
      </c>
    </row>
    <row r="1097" spans="2:3" hidden="1">
      <c r="B1097" s="3" t="s">
        <v>216</v>
      </c>
      <c r="C1097" s="3" t="s">
        <v>204</v>
      </c>
    </row>
    <row r="1098" spans="2:3" hidden="1">
      <c r="B1098" s="3" t="s">
        <v>217</v>
      </c>
      <c r="C1098" s="3" t="s">
        <v>192</v>
      </c>
    </row>
    <row r="1099" spans="2:3" hidden="1">
      <c r="B1099" s="3" t="s">
        <v>218</v>
      </c>
      <c r="C1099" s="3" t="s">
        <v>212</v>
      </c>
    </row>
    <row r="1100" spans="2:3" hidden="1">
      <c r="B1100" s="3" t="s">
        <v>219</v>
      </c>
      <c r="C1100" s="3" t="s">
        <v>212</v>
      </c>
    </row>
    <row r="1101" spans="2:3" hidden="1">
      <c r="B1101" s="3" t="s">
        <v>220</v>
      </c>
      <c r="C1101" s="3" t="s">
        <v>200</v>
      </c>
    </row>
    <row r="1102" spans="2:3" hidden="1">
      <c r="B1102" s="3" t="s">
        <v>221</v>
      </c>
      <c r="C1102" s="3" t="s">
        <v>222</v>
      </c>
    </row>
    <row r="1103" spans="2:3" hidden="1">
      <c r="B1103" s="3" t="s">
        <v>223</v>
      </c>
      <c r="C1103" s="3" t="s">
        <v>196</v>
      </c>
    </row>
    <row r="1104" spans="2:3" hidden="1">
      <c r="B1104" s="3" t="s">
        <v>224</v>
      </c>
      <c r="C1104" s="3" t="s">
        <v>222</v>
      </c>
    </row>
    <row r="1105" spans="2:3" hidden="1">
      <c r="B1105" s="3" t="s">
        <v>225</v>
      </c>
      <c r="C1105" s="3" t="s">
        <v>226</v>
      </c>
    </row>
    <row r="1106" spans="2:3" hidden="1">
      <c r="B1106" s="3" t="s">
        <v>227</v>
      </c>
      <c r="C1106" s="3" t="s">
        <v>228</v>
      </c>
    </row>
    <row r="1107" spans="2:3" hidden="1">
      <c r="B1107" s="3" t="s">
        <v>229</v>
      </c>
      <c r="C1107" s="3" t="s">
        <v>230</v>
      </c>
    </row>
    <row r="1108" spans="2:3" hidden="1">
      <c r="B1108" s="3" t="s">
        <v>231</v>
      </c>
      <c r="C1108" s="3" t="s">
        <v>192</v>
      </c>
    </row>
    <row r="1109" spans="2:3" hidden="1">
      <c r="B1109" s="3" t="s">
        <v>232</v>
      </c>
      <c r="C1109" s="3" t="s">
        <v>200</v>
      </c>
    </row>
    <row r="1110" spans="2:3" hidden="1">
      <c r="B1110" s="3" t="s">
        <v>233</v>
      </c>
      <c r="C1110" s="3" t="s">
        <v>234</v>
      </c>
    </row>
    <row r="1111" spans="2:3" hidden="1">
      <c r="B1111" s="3" t="s">
        <v>235</v>
      </c>
      <c r="C1111" s="3" t="s">
        <v>236</v>
      </c>
    </row>
    <row r="1112" spans="2:3" hidden="1">
      <c r="B1112" s="3" t="s">
        <v>237</v>
      </c>
      <c r="C1112" s="3">
        <v>0</v>
      </c>
    </row>
    <row r="1113" spans="2:3" hidden="1">
      <c r="B1113" s="3" t="s">
        <v>238</v>
      </c>
      <c r="C1113" s="3">
        <v>0</v>
      </c>
    </row>
    <row r="1114" spans="2:3" hidden="1">
      <c r="B1114" s="3" t="s">
        <v>239</v>
      </c>
      <c r="C1114" s="3">
        <v>0</v>
      </c>
    </row>
    <row r="1115" spans="2:3" hidden="1">
      <c r="B1115" s="3" t="s">
        <v>240</v>
      </c>
      <c r="C1115" s="3">
        <v>0</v>
      </c>
    </row>
    <row r="1116" spans="2:3" hidden="1">
      <c r="B1116" s="3" t="s">
        <v>242</v>
      </c>
      <c r="C1116" s="3">
        <v>0</v>
      </c>
    </row>
    <row r="1117" spans="2:3" hidden="1">
      <c r="B1117" s="3" t="s">
        <v>243</v>
      </c>
      <c r="C1117" s="3">
        <v>0</v>
      </c>
    </row>
    <row r="1118" spans="2:3" hidden="1">
      <c r="B1118" s="3" t="s">
        <v>244</v>
      </c>
      <c r="C1118" s="3">
        <v>0</v>
      </c>
    </row>
    <row r="1119" spans="2:3" hidden="1">
      <c r="B1119" s="3" t="s">
        <v>245</v>
      </c>
      <c r="C1119" s="3">
        <v>0</v>
      </c>
    </row>
    <row r="1120" spans="2:3" hidden="1">
      <c r="B1120" s="3" t="s">
        <v>246</v>
      </c>
      <c r="C1120" s="3">
        <v>0</v>
      </c>
    </row>
    <row r="1121" spans="2:3" hidden="1">
      <c r="B1121" s="3" t="s">
        <v>247</v>
      </c>
      <c r="C1121" s="3">
        <v>0</v>
      </c>
    </row>
    <row r="1122" spans="2:3" hidden="1">
      <c r="B1122" s="3" t="s">
        <v>248</v>
      </c>
      <c r="C1122" s="3">
        <v>0</v>
      </c>
    </row>
    <row r="1123" spans="2:3" hidden="1">
      <c r="B1123" s="3" t="s">
        <v>249</v>
      </c>
      <c r="C1123" s="3" t="s">
        <v>250</v>
      </c>
    </row>
    <row r="1124" spans="2:3" hidden="1">
      <c r="B1124" s="3" t="s">
        <v>251</v>
      </c>
      <c r="C1124" s="3">
        <v>0</v>
      </c>
    </row>
    <row r="1125" spans="2:3" hidden="1">
      <c r="B1125" s="3" t="s">
        <v>252</v>
      </c>
      <c r="C1125" s="3">
        <v>0</v>
      </c>
    </row>
    <row r="1126" spans="2:3" hidden="1">
      <c r="B1126" s="3" t="s">
        <v>253</v>
      </c>
      <c r="C1126" s="3">
        <v>0</v>
      </c>
    </row>
    <row r="1127" spans="2:3" hidden="1">
      <c r="B1127" s="3" t="s">
        <v>254</v>
      </c>
      <c r="C1127" s="3">
        <v>0</v>
      </c>
    </row>
    <row r="1128" spans="2:3" hidden="1">
      <c r="B1128" s="3" t="s">
        <v>255</v>
      </c>
      <c r="C1128" s="3">
        <v>0</v>
      </c>
    </row>
    <row r="1129" spans="2:3" hidden="1">
      <c r="B1129" s="3" t="s">
        <v>256</v>
      </c>
      <c r="C1129" s="3">
        <v>0</v>
      </c>
    </row>
    <row r="1130" spans="2:3" hidden="1">
      <c r="B1130" s="3" t="s">
        <v>257</v>
      </c>
      <c r="C1130" s="3">
        <v>0</v>
      </c>
    </row>
    <row r="1131" spans="2:3" hidden="1">
      <c r="B1131" s="3" t="s">
        <v>258</v>
      </c>
      <c r="C1131" s="3" t="s">
        <v>259</v>
      </c>
    </row>
    <row r="1132" spans="2:3" hidden="1">
      <c r="B1132" s="3" t="s">
        <v>260</v>
      </c>
      <c r="C1132" s="3">
        <v>0</v>
      </c>
    </row>
    <row r="1133" spans="2:3" hidden="1">
      <c r="B1133" s="3" t="s">
        <v>261</v>
      </c>
      <c r="C1133" s="3">
        <v>0</v>
      </c>
    </row>
    <row r="1134" spans="2:3" hidden="1">
      <c r="B1134" s="3" t="s">
        <v>262</v>
      </c>
      <c r="C1134" s="3">
        <v>0</v>
      </c>
    </row>
    <row r="1135" spans="2:3" hidden="1">
      <c r="B1135" s="3" t="s">
        <v>263</v>
      </c>
      <c r="C1135" s="3">
        <v>0</v>
      </c>
    </row>
    <row r="1136" spans="2:3" hidden="1">
      <c r="B1136" s="3" t="s">
        <v>264</v>
      </c>
      <c r="C1136" s="3">
        <v>0</v>
      </c>
    </row>
    <row r="1137" spans="2:3" hidden="1">
      <c r="B1137" s="3" t="s">
        <v>265</v>
      </c>
      <c r="C1137" s="3">
        <v>0</v>
      </c>
    </row>
    <row r="1138" spans="2:3" hidden="1">
      <c r="B1138" s="3" t="s">
        <v>266</v>
      </c>
      <c r="C1138" s="3">
        <v>0</v>
      </c>
    </row>
    <row r="1139" spans="2:3" hidden="1">
      <c r="B1139" s="3" t="s">
        <v>267</v>
      </c>
      <c r="C1139" s="3">
        <v>0</v>
      </c>
    </row>
    <row r="1140" spans="2:3" hidden="1">
      <c r="B1140" s="3" t="s">
        <v>268</v>
      </c>
      <c r="C1140" s="3">
        <v>0</v>
      </c>
    </row>
    <row r="1141" spans="2:3" hidden="1">
      <c r="B1141" s="3" t="s">
        <v>269</v>
      </c>
      <c r="C1141" s="3">
        <v>0</v>
      </c>
    </row>
    <row r="1142" spans="2:3" hidden="1">
      <c r="B1142" s="3" t="s">
        <v>270</v>
      </c>
      <c r="C1142" s="3">
        <v>0</v>
      </c>
    </row>
    <row r="1143" spans="2:3" hidden="1">
      <c r="B1143" s="3" t="s">
        <v>271</v>
      </c>
      <c r="C1143" s="3">
        <v>0</v>
      </c>
    </row>
    <row r="1144" spans="2:3" hidden="1">
      <c r="B1144" s="3" t="s">
        <v>272</v>
      </c>
      <c r="C1144" s="3">
        <v>0</v>
      </c>
    </row>
    <row r="1145" spans="2:3" hidden="1">
      <c r="B1145" s="3" t="s">
        <v>273</v>
      </c>
      <c r="C1145" s="3">
        <v>0</v>
      </c>
    </row>
    <row r="1146" spans="2:3" hidden="1">
      <c r="B1146" s="3" t="s">
        <v>274</v>
      </c>
      <c r="C1146" s="3">
        <v>0</v>
      </c>
    </row>
    <row r="1147" spans="2:3" hidden="1">
      <c r="B1147" s="3" t="s">
        <v>275</v>
      </c>
      <c r="C1147" s="3">
        <v>0</v>
      </c>
    </row>
    <row r="1148" spans="2:3" hidden="1">
      <c r="B1148" s="3" t="s">
        <v>276</v>
      </c>
      <c r="C1148" s="3">
        <v>0</v>
      </c>
    </row>
    <row r="1149" spans="2:3" hidden="1">
      <c r="B1149" s="3" t="s">
        <v>277</v>
      </c>
      <c r="C1149" s="3" t="s">
        <v>241</v>
      </c>
    </row>
    <row r="1150" spans="2:3" hidden="1">
      <c r="B1150" s="3" t="s">
        <v>278</v>
      </c>
      <c r="C1150" s="3">
        <v>0</v>
      </c>
    </row>
    <row r="1151" spans="2:3" hidden="1">
      <c r="B1151" s="3" t="s">
        <v>279</v>
      </c>
      <c r="C1151" s="3">
        <v>0</v>
      </c>
    </row>
    <row r="1152" spans="2:3" hidden="1">
      <c r="B1152" s="3" t="s">
        <v>280</v>
      </c>
      <c r="C1152" s="3">
        <v>0</v>
      </c>
    </row>
    <row r="1153" spans="2:3" hidden="1">
      <c r="B1153" s="3" t="s">
        <v>281</v>
      </c>
      <c r="C1153" s="3">
        <v>0</v>
      </c>
    </row>
    <row r="1154" spans="2:3" hidden="1">
      <c r="B1154" s="3" t="s">
        <v>282</v>
      </c>
      <c r="C1154" s="3">
        <v>0</v>
      </c>
    </row>
    <row r="1155" spans="2:3" hidden="1">
      <c r="B1155" s="3" t="s">
        <v>283</v>
      </c>
      <c r="C1155" s="3">
        <v>0</v>
      </c>
    </row>
    <row r="1156" spans="2:3" hidden="1">
      <c r="B1156" s="3" t="s">
        <v>284</v>
      </c>
      <c r="C1156" s="3">
        <v>0</v>
      </c>
    </row>
    <row r="1157" spans="2:3" hidden="1">
      <c r="B1157" s="3" t="s">
        <v>285</v>
      </c>
      <c r="C1157" s="3">
        <v>0</v>
      </c>
    </row>
    <row r="1158" spans="2:3" hidden="1">
      <c r="B1158" s="3" t="s">
        <v>286</v>
      </c>
      <c r="C1158" s="3">
        <v>0</v>
      </c>
    </row>
    <row r="1159" spans="2:3" hidden="1">
      <c r="B1159" s="3" t="s">
        <v>287</v>
      </c>
      <c r="C1159" s="3">
        <v>0</v>
      </c>
    </row>
    <row r="1160" spans="2:3" hidden="1">
      <c r="B1160" s="3" t="s">
        <v>288</v>
      </c>
      <c r="C1160" s="3">
        <v>0</v>
      </c>
    </row>
    <row r="1161" spans="2:3" hidden="1">
      <c r="B1161" s="3" t="s">
        <v>289</v>
      </c>
      <c r="C1161" s="3">
        <v>1</v>
      </c>
    </row>
    <row r="1162" spans="2:3" hidden="1">
      <c r="B1162" s="3" t="s">
        <v>290</v>
      </c>
      <c r="C1162" s="3">
        <v>0</v>
      </c>
    </row>
    <row r="1163" spans="2:3" hidden="1">
      <c r="B1163" s="3" t="s">
        <v>291</v>
      </c>
      <c r="C1163" s="3">
        <v>0</v>
      </c>
    </row>
    <row r="1164" spans="2:3" hidden="1">
      <c r="B1164" s="3" t="s">
        <v>292</v>
      </c>
      <c r="C1164" s="3">
        <v>0</v>
      </c>
    </row>
    <row r="1165" spans="2:3" hidden="1">
      <c r="B1165" s="3" t="s">
        <v>293</v>
      </c>
      <c r="C1165" s="3">
        <v>0</v>
      </c>
    </row>
    <row r="1166" spans="2:3" hidden="1">
      <c r="B1166" s="3" t="s">
        <v>294</v>
      </c>
      <c r="C1166" s="3">
        <v>0</v>
      </c>
    </row>
    <row r="1167" spans="2:3" hidden="1">
      <c r="B1167" s="3" t="s">
        <v>295</v>
      </c>
      <c r="C1167" s="3">
        <v>0</v>
      </c>
    </row>
    <row r="1168" spans="2:3" hidden="1">
      <c r="B1168" s="3" t="s">
        <v>296</v>
      </c>
      <c r="C1168" s="3">
        <v>0</v>
      </c>
    </row>
    <row r="1169" spans="2:3" hidden="1">
      <c r="B1169" s="3" t="s">
        <v>297</v>
      </c>
      <c r="C1169" s="3">
        <v>1</v>
      </c>
    </row>
    <row r="1170" spans="2:3" hidden="1">
      <c r="B1170" s="3" t="s">
        <v>298</v>
      </c>
      <c r="C1170" s="3">
        <v>0</v>
      </c>
    </row>
    <row r="1171" spans="2:3" hidden="1">
      <c r="B1171" s="3" t="s">
        <v>299</v>
      </c>
      <c r="C1171" s="3">
        <v>0</v>
      </c>
    </row>
    <row r="1172" spans="2:3" hidden="1">
      <c r="B1172" s="3" t="s">
        <v>300</v>
      </c>
      <c r="C1172" s="3">
        <v>0</v>
      </c>
    </row>
    <row r="1173" spans="2:3" hidden="1">
      <c r="B1173" s="3" t="s">
        <v>301</v>
      </c>
      <c r="C1173" s="3">
        <v>0</v>
      </c>
    </row>
    <row r="1174" spans="2:3" hidden="1">
      <c r="B1174" s="3" t="s">
        <v>302</v>
      </c>
      <c r="C1174" s="3">
        <v>0</v>
      </c>
    </row>
    <row r="1175" spans="2:3" hidden="1">
      <c r="B1175" s="3" t="s">
        <v>303</v>
      </c>
      <c r="C1175" s="3">
        <v>0</v>
      </c>
    </row>
    <row r="1176" spans="2:3" hidden="1">
      <c r="B1176" s="3" t="s">
        <v>304</v>
      </c>
      <c r="C1176" s="3">
        <v>0</v>
      </c>
    </row>
    <row r="1177" spans="2:3" hidden="1">
      <c r="B1177" s="3" t="s">
        <v>305</v>
      </c>
      <c r="C1177" s="3">
        <v>0</v>
      </c>
    </row>
    <row r="1178" spans="2:3" hidden="1">
      <c r="B1178" s="3" t="s">
        <v>306</v>
      </c>
      <c r="C1178" s="3">
        <v>0</v>
      </c>
    </row>
    <row r="1179" spans="2:3" hidden="1">
      <c r="B1179" s="3" t="s">
        <v>307</v>
      </c>
      <c r="C1179" s="3">
        <v>0</v>
      </c>
    </row>
    <row r="1180" spans="2:3" hidden="1">
      <c r="B1180" s="3" t="s">
        <v>308</v>
      </c>
      <c r="C1180" s="3">
        <v>0</v>
      </c>
    </row>
    <row r="1181" spans="2:3" hidden="1">
      <c r="B1181" s="3" t="s">
        <v>309</v>
      </c>
      <c r="C1181" s="3">
        <v>0</v>
      </c>
    </row>
    <row r="1182" spans="2:3" hidden="1">
      <c r="B1182" s="3" t="s">
        <v>310</v>
      </c>
      <c r="C1182" s="3">
        <v>0</v>
      </c>
    </row>
    <row r="1183" spans="2:3" hidden="1">
      <c r="B1183" s="3" t="s">
        <v>311</v>
      </c>
      <c r="C1183" s="3">
        <v>0</v>
      </c>
    </row>
    <row r="1184" spans="2:3" hidden="1">
      <c r="B1184" s="3" t="s">
        <v>312</v>
      </c>
      <c r="C1184" s="3">
        <v>0</v>
      </c>
    </row>
    <row r="1185" spans="2:3" hidden="1">
      <c r="B1185" s="3" t="s">
        <v>313</v>
      </c>
      <c r="C1185" s="3">
        <v>0</v>
      </c>
    </row>
    <row r="1186" spans="2:3" hidden="1">
      <c r="B1186" s="3" t="s">
        <v>314</v>
      </c>
      <c r="C1186" s="3">
        <v>0</v>
      </c>
    </row>
    <row r="1187" spans="2:3" hidden="1">
      <c r="B1187" s="3" t="s">
        <v>315</v>
      </c>
      <c r="C1187" s="3">
        <v>0</v>
      </c>
    </row>
    <row r="1188" spans="2:3" hidden="1">
      <c r="B1188" s="3" t="s">
        <v>316</v>
      </c>
      <c r="C1188" s="3">
        <v>1</v>
      </c>
    </row>
    <row r="1189" spans="2:3" hidden="1">
      <c r="B1189" s="3" t="s">
        <v>317</v>
      </c>
      <c r="C1189" s="3">
        <v>0</v>
      </c>
    </row>
    <row r="1190" spans="2:3" hidden="1">
      <c r="B1190" s="3" t="s">
        <v>318</v>
      </c>
      <c r="C1190" s="3">
        <v>0</v>
      </c>
    </row>
    <row r="1191" spans="2:3" hidden="1">
      <c r="B1191" s="3" t="s">
        <v>319</v>
      </c>
      <c r="C1191" s="3">
        <v>0</v>
      </c>
    </row>
    <row r="1192" spans="2:3" hidden="1">
      <c r="B1192" s="3" t="s">
        <v>320</v>
      </c>
      <c r="C1192" s="3">
        <v>0</v>
      </c>
    </row>
    <row r="1193" spans="2:3" hidden="1">
      <c r="B1193" s="3" t="s">
        <v>321</v>
      </c>
      <c r="C1193" s="3">
        <v>0</v>
      </c>
    </row>
    <row r="1194" spans="2:3" hidden="1">
      <c r="B1194" s="3" t="s">
        <v>322</v>
      </c>
      <c r="C1194" s="3">
        <v>0</v>
      </c>
    </row>
    <row r="1195" spans="2:3" hidden="1">
      <c r="B1195" s="3" t="s">
        <v>323</v>
      </c>
      <c r="C1195" s="3">
        <v>0</v>
      </c>
    </row>
    <row r="1196" spans="2:3" hidden="1">
      <c r="B1196" s="3" t="s">
        <v>324</v>
      </c>
      <c r="C1196" s="3">
        <v>0</v>
      </c>
    </row>
    <row r="1197" spans="2:3" hidden="1">
      <c r="B1197" s="3" t="s">
        <v>325</v>
      </c>
      <c r="C1197" s="3">
        <v>0</v>
      </c>
    </row>
    <row r="1198" spans="2:3" hidden="1">
      <c r="B1198" s="3" t="s">
        <v>326</v>
      </c>
      <c r="C1198" s="3">
        <v>0</v>
      </c>
    </row>
    <row r="1199" spans="2:3" hidden="1">
      <c r="B1199" s="3" t="s">
        <v>327</v>
      </c>
      <c r="C1199" s="3">
        <v>0</v>
      </c>
    </row>
    <row r="1200" spans="2:3" hidden="1">
      <c r="B1200" s="3" t="s">
        <v>328</v>
      </c>
      <c r="C1200" s="3">
        <v>0</v>
      </c>
    </row>
    <row r="1201" spans="2:3" hidden="1">
      <c r="B1201" s="3" t="s">
        <v>329</v>
      </c>
      <c r="C1201" s="3">
        <v>0</v>
      </c>
    </row>
    <row r="1202" spans="2:3" hidden="1">
      <c r="B1202" s="3" t="s">
        <v>330</v>
      </c>
      <c r="C1202" s="3">
        <v>0</v>
      </c>
    </row>
    <row r="1203" spans="2:3" hidden="1">
      <c r="B1203" s="3" t="s">
        <v>331</v>
      </c>
      <c r="C1203" s="3">
        <v>0</v>
      </c>
    </row>
    <row r="1204" spans="2:3" hidden="1">
      <c r="B1204" s="3" t="s">
        <v>332</v>
      </c>
      <c r="C1204" s="3">
        <v>0</v>
      </c>
    </row>
    <row r="1205" spans="2:3" hidden="1">
      <c r="B1205" s="3" t="s">
        <v>333</v>
      </c>
      <c r="C1205" s="3">
        <v>0</v>
      </c>
    </row>
    <row r="1206" spans="2:3" hidden="1">
      <c r="B1206" s="3" t="s">
        <v>334</v>
      </c>
      <c r="C1206" s="3">
        <v>0</v>
      </c>
    </row>
    <row r="1207" spans="2:3" hidden="1">
      <c r="B1207" s="3" t="s">
        <v>335</v>
      </c>
      <c r="C1207" s="3">
        <v>0</v>
      </c>
    </row>
    <row r="1208" spans="2:3" hidden="1">
      <c r="B1208" s="3" t="s">
        <v>336</v>
      </c>
      <c r="C1208" s="3">
        <v>0</v>
      </c>
    </row>
    <row r="1209" spans="2:3" hidden="1">
      <c r="B1209" s="3" t="s">
        <v>337</v>
      </c>
      <c r="C1209" s="3">
        <v>0</v>
      </c>
    </row>
    <row r="1210" spans="2:3" hidden="1">
      <c r="B1210" s="3" t="s">
        <v>338</v>
      </c>
      <c r="C1210" s="3">
        <v>0</v>
      </c>
    </row>
    <row r="1211" spans="2:3" hidden="1">
      <c r="B1211" s="3" t="s">
        <v>339</v>
      </c>
      <c r="C1211" s="3">
        <v>0</v>
      </c>
    </row>
    <row r="1212" spans="2:3" hidden="1">
      <c r="B1212" s="3" t="s">
        <v>340</v>
      </c>
      <c r="C1212" s="3">
        <v>0</v>
      </c>
    </row>
    <row r="1213" spans="2:3" hidden="1">
      <c r="B1213" s="3" t="s">
        <v>341</v>
      </c>
      <c r="C1213" s="3">
        <v>0</v>
      </c>
    </row>
    <row r="1214" spans="2:3" hidden="1">
      <c r="B1214" s="3" t="s">
        <v>342</v>
      </c>
      <c r="C1214" s="3">
        <v>0</v>
      </c>
    </row>
    <row r="1215" spans="2:3" hidden="1">
      <c r="B1215" s="3" t="s">
        <v>343</v>
      </c>
      <c r="C1215" s="3">
        <v>0</v>
      </c>
    </row>
    <row r="1216" spans="2:3" hidden="1">
      <c r="B1216" s="3" t="s">
        <v>344</v>
      </c>
      <c r="C1216" s="3">
        <v>0</v>
      </c>
    </row>
    <row r="1217" spans="2:3" hidden="1">
      <c r="B1217" s="3" t="s">
        <v>345</v>
      </c>
      <c r="C1217" s="3">
        <v>0</v>
      </c>
    </row>
    <row r="1218" spans="2:3" hidden="1">
      <c r="B1218" s="3" t="s">
        <v>346</v>
      </c>
      <c r="C1218" s="3">
        <v>0</v>
      </c>
    </row>
    <row r="1219" spans="2:3" hidden="1">
      <c r="B1219" s="3" t="s">
        <v>347</v>
      </c>
      <c r="C1219" s="3">
        <v>0</v>
      </c>
    </row>
    <row r="1220" spans="2:3" hidden="1">
      <c r="B1220" s="3" t="s">
        <v>348</v>
      </c>
      <c r="C1220" s="3">
        <v>0</v>
      </c>
    </row>
    <row r="1221" spans="2:3" hidden="1">
      <c r="B1221" s="3" t="s">
        <v>349</v>
      </c>
      <c r="C1221" s="3">
        <v>0</v>
      </c>
    </row>
    <row r="1222" spans="2:3" hidden="1">
      <c r="B1222" s="3" t="s">
        <v>350</v>
      </c>
      <c r="C1222" s="3">
        <v>0</v>
      </c>
    </row>
    <row r="1223" spans="2:3" hidden="1">
      <c r="B1223" s="3" t="s">
        <v>351</v>
      </c>
      <c r="C1223" s="3">
        <v>0</v>
      </c>
    </row>
    <row r="1224" spans="2:3" hidden="1">
      <c r="B1224" s="3" t="s">
        <v>352</v>
      </c>
      <c r="C1224" s="3">
        <v>0</v>
      </c>
    </row>
    <row r="1225" spans="2:3" hidden="1">
      <c r="B1225" s="3" t="s">
        <v>353</v>
      </c>
      <c r="C1225" s="3">
        <v>0</v>
      </c>
    </row>
    <row r="1226" spans="2:3" hidden="1">
      <c r="B1226" s="3" t="s">
        <v>354</v>
      </c>
      <c r="C1226" s="3">
        <v>0</v>
      </c>
    </row>
    <row r="1227" spans="2:3" hidden="1">
      <c r="B1227" s="3" t="s">
        <v>355</v>
      </c>
      <c r="C1227" s="3">
        <v>0</v>
      </c>
    </row>
    <row r="1228" spans="2:3" hidden="1">
      <c r="B1228" s="3" t="s">
        <v>356</v>
      </c>
      <c r="C1228" s="3">
        <v>0</v>
      </c>
    </row>
    <row r="1229" spans="2:3" hidden="1">
      <c r="B1229" s="3" t="s">
        <v>357</v>
      </c>
      <c r="C1229" s="3">
        <v>0</v>
      </c>
    </row>
  </sheetData>
  <sheetProtection sheet="1" objects="1" scenarios="1"/>
  <protectedRanges>
    <protectedRange sqref="D3 D5:E6 C6 F7:F8 D12:E12 D14:D16 F17 D18 D20:E23 D24:D25 E25 F26:F27 D32 F33 D38 F40 B54:B57 E54:F57 B63:D73" name="Grey cells"/>
  </protectedRanges>
  <mergeCells count="10">
    <mergeCell ref="B60:B61"/>
    <mergeCell ref="C60:C61"/>
    <mergeCell ref="E60:E61"/>
    <mergeCell ref="F60:F61"/>
    <mergeCell ref="I60:I61"/>
    <mergeCell ref="B2:F2"/>
    <mergeCell ref="I4:P4"/>
    <mergeCell ref="H5:H12"/>
    <mergeCell ref="B52:F52"/>
    <mergeCell ref="B59:I59"/>
  </mergeCells>
  <conditionalFormatting sqref="B72:C72">
    <cfRule type="expression" dxfId="11" priority="7" stopIfTrue="1">
      <formula>MID($B72,1,4)="Rent"</formula>
    </cfRule>
  </conditionalFormatting>
  <conditionalFormatting sqref="C31:D32">
    <cfRule type="expression" dxfId="10" priority="3">
      <formula>#REF!="yes"</formula>
    </cfRule>
  </conditionalFormatting>
  <conditionalFormatting sqref="D4">
    <cfRule type="expression" dxfId="9" priority="6">
      <formula>$F$1="no"</formula>
    </cfRule>
  </conditionalFormatting>
  <conditionalFormatting sqref="D11">
    <cfRule type="expression" dxfId="8" priority="5">
      <formula>#REF!="no"</formula>
    </cfRule>
  </conditionalFormatting>
  <conditionalFormatting sqref="D33 C34:E34">
    <cfRule type="expression" dxfId="7" priority="8">
      <formula>#REF!="yes"</formula>
    </cfRule>
  </conditionalFormatting>
  <conditionalFormatting sqref="D12:E30">
    <cfRule type="expression" dxfId="6" priority="1">
      <formula>#REF!="yes"</formula>
    </cfRule>
  </conditionalFormatting>
  <dataValidations count="1">
    <dataValidation type="list" allowBlank="1" showInputMessage="1" showErrorMessage="1" sqref="F1" xr:uid="{C1B47C46-13D6-45F4-835B-30F538F52F12}">
      <formula1>"Yes, No"</formula1>
    </dataValidation>
  </dataValidations>
  <pageMargins left="0.7" right="0.7" top="0.75" bottom="0.75" header="0.3" footer="0.3"/>
  <pageSetup scale="67"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BE0A01BA-082F-449D-BC5A-76165CDE0EAD}">
          <x14:formula1>
            <xm:f>'Machinery Input Tables'!$AH$6:$AH$32</xm:f>
          </x14:formula1>
          <xm:sqref>C63:C73</xm:sqref>
        </x14:dataValidation>
        <x14:dataValidation type="list" allowBlank="1" showInputMessage="1" showErrorMessage="1" xr:uid="{FC62EB77-65C2-44EC-A729-74DC904C2AE4}">
          <x14:formula1>
            <xm:f>'Machinery Input Tables'!$B$6:$B$121</xm:f>
          </x14:formula1>
          <xm:sqref>B63:B73</xm:sqref>
        </x14:dataValidation>
        <x14:dataValidation type="list" allowBlank="1" showInputMessage="1" showErrorMessage="1" xr:uid="{A0618AE9-9312-4AEA-822A-39B2531B7F75}">
          <x14:formula1>
            <xm:f>'Machinery Input Tables'!$C$133:$C$184</xm:f>
          </x14:formula1>
          <xm:sqref>B54:B57</xm:sqref>
        </x14:dataValidation>
        <x14:dataValidation type="list" allowBlank="1" showInputMessage="1" showErrorMessage="1" xr:uid="{3BDB0717-0693-4EBB-BEC9-8EC98B3AFB75}">
          <x14:formula1>
            <xm:f>'Irrigation costs'!$D$2:$G$2</xm:f>
          </x14:formula1>
          <xm:sqref>D3</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C6300-6A43-4B5F-9196-E558BB8B68C2}">
  <sheetPr>
    <pageSetUpPr fitToPage="1"/>
  </sheetPr>
  <dimension ref="A1:Q1229"/>
  <sheetViews>
    <sheetView showGridLines="0" zoomScaleNormal="100" workbookViewId="0">
      <selection activeCell="J29" sqref="J29"/>
    </sheetView>
  </sheetViews>
  <sheetFormatPr defaultColWidth="0" defaultRowHeight="16.5" zeroHeight="1"/>
  <cols>
    <col min="1" max="1" width="3.125" style="3" customWidth="1"/>
    <col min="2" max="2" width="34.875" style="3" customWidth="1"/>
    <col min="3" max="3" width="20.25" style="3" customWidth="1"/>
    <col min="4" max="5" width="14" style="3" customWidth="1"/>
    <col min="6" max="6" width="12.625" style="3" customWidth="1"/>
    <col min="7" max="7" width="11.75" style="3" customWidth="1"/>
    <col min="8" max="9" width="9" style="3" customWidth="1"/>
    <col min="10" max="10" width="11.625" style="3" customWidth="1"/>
    <col min="11" max="11" width="10.625" style="3" customWidth="1"/>
    <col min="12" max="14" width="9" style="3" customWidth="1"/>
    <col min="15" max="15" width="9.5" style="3" bestFit="1" customWidth="1"/>
    <col min="16" max="16" width="9" style="3" customWidth="1"/>
    <col min="17" max="17" width="3.125" style="3" customWidth="1"/>
    <col min="18" max="16384" width="9" style="3" hidden="1"/>
  </cols>
  <sheetData>
    <row r="1" spans="2:16">
      <c r="F1" s="32"/>
    </row>
    <row r="2" spans="2:16" ht="20.25" customHeight="1">
      <c r="B2" s="299" t="s">
        <v>913</v>
      </c>
      <c r="C2" s="299"/>
      <c r="D2" s="299"/>
      <c r="E2" s="299"/>
      <c r="F2" s="299"/>
      <c r="G2" s="4"/>
    </row>
    <row r="3" spans="2:16" ht="17.25">
      <c r="B3" s="33" t="s">
        <v>687</v>
      </c>
      <c r="C3" s="34"/>
      <c r="D3" s="143" t="s">
        <v>689</v>
      </c>
      <c r="E3" s="34"/>
      <c r="F3" s="36"/>
      <c r="G3" s="37"/>
      <c r="H3" s="38"/>
      <c r="I3" s="39" t="s">
        <v>800</v>
      </c>
      <c r="J3" s="38"/>
      <c r="K3" s="38"/>
      <c r="L3" s="38"/>
      <c r="M3" s="38"/>
      <c r="N3" s="38"/>
      <c r="O3" s="38"/>
      <c r="P3" s="38"/>
    </row>
    <row r="4" spans="2:16" ht="17.25">
      <c r="B4" s="40" t="s">
        <v>370</v>
      </c>
      <c r="C4" s="40" t="s">
        <v>556</v>
      </c>
      <c r="D4" s="41" t="s">
        <v>25</v>
      </c>
      <c r="E4" s="41" t="s">
        <v>854</v>
      </c>
      <c r="F4" s="41" t="s">
        <v>855</v>
      </c>
      <c r="G4" s="37"/>
      <c r="H4" s="42"/>
      <c r="I4" s="300" t="s">
        <v>6</v>
      </c>
      <c r="J4" s="300"/>
      <c r="K4" s="300"/>
      <c r="L4" s="300"/>
      <c r="M4" s="300"/>
      <c r="N4" s="300"/>
      <c r="O4" s="300"/>
      <c r="P4" s="300"/>
    </row>
    <row r="5" spans="2:16" ht="16.5" customHeight="1">
      <c r="B5" s="43" t="s">
        <v>20</v>
      </c>
      <c r="C5" s="187" t="s">
        <v>21</v>
      </c>
      <c r="D5" s="44">
        <v>50</v>
      </c>
      <c r="E5" s="77">
        <v>11</v>
      </c>
      <c r="F5" s="46">
        <f>D5*E5</f>
        <v>550</v>
      </c>
      <c r="G5" s="47" t="s">
        <v>40</v>
      </c>
      <c r="H5" s="301" t="s">
        <v>799</v>
      </c>
      <c r="I5" s="48"/>
      <c r="J5" s="49">
        <f>0.7*$D$5</f>
        <v>35</v>
      </c>
      <c r="K5" s="49">
        <f>0.8*$D$5</f>
        <v>40</v>
      </c>
      <c r="L5" s="49">
        <f>0.9*$D$5</f>
        <v>45</v>
      </c>
      <c r="M5" s="50">
        <f>1*$D$5</f>
        <v>50</v>
      </c>
      <c r="N5" s="49">
        <f>1.1*$D$5</f>
        <v>55.000000000000007</v>
      </c>
      <c r="O5" s="49">
        <f>1.2*$D$5</f>
        <v>60</v>
      </c>
      <c r="P5" s="51">
        <f>1.3*$D$5</f>
        <v>65</v>
      </c>
    </row>
    <row r="6" spans="2:16" ht="17.25">
      <c r="B6" s="43" t="s">
        <v>22</v>
      </c>
      <c r="C6" s="52"/>
      <c r="D6" s="53"/>
      <c r="E6" s="58"/>
      <c r="F6" s="46">
        <f>D6*E6</f>
        <v>0</v>
      </c>
      <c r="G6" s="54"/>
      <c r="H6" s="301"/>
      <c r="I6" s="55">
        <f>0.7*$E$5</f>
        <v>7.6999999999999993</v>
      </c>
      <c r="J6" s="56">
        <f t="shared" ref="J6:P12" si="0">(J$5*$I6+SUM($F$6:$F$8)-((J$5*$I6+SUM($F$6:$F$8))/$F$9*$F$38)-($F$25*J$5/$D$5)-SUM($F$12:$F$13,$F$19,$F$24,$F$26:$F$31,$F$33:$F$34,$F$39))</f>
        <v>-175.02356867015914</v>
      </c>
      <c r="K6" s="56">
        <f t="shared" si="0"/>
        <v>-137.29356867015917</v>
      </c>
      <c r="L6" s="56">
        <f t="shared" si="0"/>
        <v>-99.563568670159214</v>
      </c>
      <c r="M6" s="56">
        <f t="shared" si="0"/>
        <v>-61.833568670159195</v>
      </c>
      <c r="N6" s="56">
        <f t="shared" si="0"/>
        <v>-24.103568670159177</v>
      </c>
      <c r="O6" s="56">
        <f t="shared" si="0"/>
        <v>13.626431329840784</v>
      </c>
      <c r="P6" s="56">
        <f t="shared" si="0"/>
        <v>51.356431329840802</v>
      </c>
    </row>
    <row r="7" spans="2:16" ht="17.25">
      <c r="B7" s="57" t="s">
        <v>23</v>
      </c>
      <c r="C7" s="34"/>
      <c r="D7" s="57"/>
      <c r="E7" s="34"/>
      <c r="F7" s="58">
        <v>0</v>
      </c>
      <c r="G7" s="54"/>
      <c r="H7" s="301"/>
      <c r="I7" s="55">
        <f>0.8*$E$5</f>
        <v>8.8000000000000007</v>
      </c>
      <c r="J7" s="56">
        <f t="shared" si="0"/>
        <v>-137.29356867015917</v>
      </c>
      <c r="K7" s="56">
        <f t="shared" si="0"/>
        <v>-94.17356867015917</v>
      </c>
      <c r="L7" s="56">
        <f t="shared" si="0"/>
        <v>-51.053568670159109</v>
      </c>
      <c r="M7" s="56">
        <f t="shared" si="0"/>
        <v>-7.9335686701591044</v>
      </c>
      <c r="N7" s="56">
        <f t="shared" si="0"/>
        <v>35.186431329840957</v>
      </c>
      <c r="O7" s="56">
        <f t="shared" si="0"/>
        <v>78.306431329840905</v>
      </c>
      <c r="P7" s="56">
        <f t="shared" si="0"/>
        <v>121.4264313298408</v>
      </c>
    </row>
    <row r="8" spans="2:16" ht="17.25">
      <c r="B8" s="57" t="s">
        <v>24</v>
      </c>
      <c r="C8" s="34"/>
      <c r="D8" s="57"/>
      <c r="E8" s="34"/>
      <c r="F8" s="59">
        <v>0</v>
      </c>
      <c r="G8" s="54"/>
      <c r="H8" s="301"/>
      <c r="I8" s="55">
        <f>0.9*$E$5</f>
        <v>9.9</v>
      </c>
      <c r="J8" s="56">
        <f t="shared" si="0"/>
        <v>-99.563568670159157</v>
      </c>
      <c r="K8" s="56">
        <f t="shared" si="0"/>
        <v>-51.053568670159166</v>
      </c>
      <c r="L8" s="56">
        <f t="shared" si="0"/>
        <v>-2.5435686701591749</v>
      </c>
      <c r="M8" s="56">
        <f t="shared" si="0"/>
        <v>45.966431329840873</v>
      </c>
      <c r="N8" s="56">
        <f t="shared" si="0"/>
        <v>94.476431329840977</v>
      </c>
      <c r="O8" s="56">
        <f t="shared" si="0"/>
        <v>142.98643132984085</v>
      </c>
      <c r="P8" s="56">
        <f t="shared" si="0"/>
        <v>191.49643132984085</v>
      </c>
    </row>
    <row r="9" spans="2:16" ht="17.25">
      <c r="B9" s="60" t="s">
        <v>373</v>
      </c>
      <c r="C9" s="34"/>
      <c r="D9" s="61"/>
      <c r="E9" s="61"/>
      <c r="F9" s="62">
        <f>SUM(F5:F8)</f>
        <v>550</v>
      </c>
      <c r="G9" s="63"/>
      <c r="H9" s="301"/>
      <c r="I9" s="64">
        <f>1*$E$5</f>
        <v>11</v>
      </c>
      <c r="J9" s="56">
        <f t="shared" si="0"/>
        <v>-61.833568670159138</v>
      </c>
      <c r="K9" s="56">
        <f t="shared" si="0"/>
        <v>-7.9335686701591612</v>
      </c>
      <c r="L9" s="56">
        <f t="shared" si="0"/>
        <v>45.966431329840873</v>
      </c>
      <c r="M9" s="65">
        <f t="shared" si="0"/>
        <v>99.86643132984085</v>
      </c>
      <c r="N9" s="56">
        <f t="shared" si="0"/>
        <v>153.76643132984094</v>
      </c>
      <c r="O9" s="56">
        <f t="shared" si="0"/>
        <v>207.6664313298408</v>
      </c>
      <c r="P9" s="56">
        <f t="shared" si="0"/>
        <v>261.5664313298409</v>
      </c>
    </row>
    <row r="10" spans="2:16" ht="17.25">
      <c r="B10" s="60"/>
      <c r="C10" s="34"/>
      <c r="D10" s="61"/>
      <c r="E10" s="61"/>
      <c r="F10" s="66"/>
      <c r="G10" s="63"/>
      <c r="H10" s="301"/>
      <c r="I10" s="55">
        <f>1.1*$E$5</f>
        <v>12.100000000000001</v>
      </c>
      <c r="J10" s="56">
        <f t="shared" si="0"/>
        <v>-24.10356867015912</v>
      </c>
      <c r="K10" s="56">
        <f t="shared" si="0"/>
        <v>35.1864313298409</v>
      </c>
      <c r="L10" s="56">
        <f t="shared" si="0"/>
        <v>94.476431329840977</v>
      </c>
      <c r="M10" s="56">
        <f t="shared" si="0"/>
        <v>153.76643132984094</v>
      </c>
      <c r="N10" s="56">
        <f t="shared" si="0"/>
        <v>213.0564313298409</v>
      </c>
      <c r="O10" s="56">
        <f t="shared" si="0"/>
        <v>272.34643132984098</v>
      </c>
      <c r="P10" s="56">
        <f t="shared" si="0"/>
        <v>331.63643132984095</v>
      </c>
    </row>
    <row r="11" spans="2:16" ht="17.25">
      <c r="B11" s="67" t="s">
        <v>856</v>
      </c>
      <c r="C11" s="40" t="s">
        <v>556</v>
      </c>
      <c r="D11" s="41" t="s">
        <v>25</v>
      </c>
      <c r="E11" s="41" t="s">
        <v>854</v>
      </c>
      <c r="F11" s="41" t="s">
        <v>855</v>
      </c>
      <c r="G11" s="63"/>
      <c r="H11" s="301"/>
      <c r="I11" s="55">
        <f>1.2*$E$5</f>
        <v>13.2</v>
      </c>
      <c r="J11" s="56">
        <f t="shared" si="0"/>
        <v>13.626431329840841</v>
      </c>
      <c r="K11" s="56">
        <f t="shared" si="0"/>
        <v>78.306431329840905</v>
      </c>
      <c r="L11" s="56">
        <f t="shared" si="0"/>
        <v>142.98643132984085</v>
      </c>
      <c r="M11" s="56">
        <f t="shared" si="0"/>
        <v>207.6664313298408</v>
      </c>
      <c r="N11" s="56">
        <f t="shared" si="0"/>
        <v>272.34643132984087</v>
      </c>
      <c r="O11" s="56">
        <f t="shared" si="0"/>
        <v>337.02643132984082</v>
      </c>
      <c r="P11" s="56">
        <f t="shared" si="0"/>
        <v>401.70643132984088</v>
      </c>
    </row>
    <row r="12" spans="2:16" ht="17.25">
      <c r="B12" s="57" t="s">
        <v>14</v>
      </c>
      <c r="C12" s="7" t="s">
        <v>914</v>
      </c>
      <c r="D12" s="68">
        <v>6</v>
      </c>
      <c r="E12" s="69">
        <v>450</v>
      </c>
      <c r="F12" s="46">
        <f>D12*E12/H16</f>
        <v>54</v>
      </c>
      <c r="G12" s="63"/>
      <c r="H12" s="301"/>
      <c r="I12" s="70">
        <f>1.3*$E$5</f>
        <v>14.3</v>
      </c>
      <c r="J12" s="56">
        <f t="shared" si="0"/>
        <v>51.356431329840859</v>
      </c>
      <c r="K12" s="56">
        <f t="shared" si="0"/>
        <v>121.4264313298408</v>
      </c>
      <c r="L12" s="56">
        <f t="shared" si="0"/>
        <v>191.49643132984085</v>
      </c>
      <c r="M12" s="56">
        <f t="shared" si="0"/>
        <v>261.5664313298409</v>
      </c>
      <c r="N12" s="56">
        <f t="shared" si="0"/>
        <v>331.63643132984095</v>
      </c>
      <c r="O12" s="56">
        <f t="shared" si="0"/>
        <v>401.70643132984088</v>
      </c>
      <c r="P12" s="56">
        <f t="shared" si="0"/>
        <v>471.77643132984082</v>
      </c>
    </row>
    <row r="13" spans="2:16">
      <c r="B13" s="57" t="s">
        <v>26</v>
      </c>
      <c r="C13" s="7"/>
      <c r="D13" s="34"/>
      <c r="E13" s="71"/>
      <c r="F13" s="46">
        <f>SUMPRODUCT(D14:D18,E14:E18)+F17</f>
        <v>149.10000000000002</v>
      </c>
      <c r="G13" s="63"/>
      <c r="H13" s="72"/>
    </row>
    <row r="14" spans="2:16">
      <c r="B14" s="73" t="s">
        <v>27</v>
      </c>
      <c r="C14" s="7" t="s">
        <v>686</v>
      </c>
      <c r="D14" s="45">
        <v>120</v>
      </c>
      <c r="E14" s="71">
        <f>'Input prices'!D4</f>
        <v>0.7</v>
      </c>
      <c r="F14" s="46"/>
      <c r="G14" s="63"/>
      <c r="H14" s="72"/>
    </row>
    <row r="15" spans="2:16">
      <c r="B15" s="73" t="s">
        <v>28</v>
      </c>
      <c r="C15" s="7" t="s">
        <v>686</v>
      </c>
      <c r="D15" s="45">
        <v>40</v>
      </c>
      <c r="E15" s="71">
        <f>'Input prices'!D5</f>
        <v>0.73</v>
      </c>
      <c r="F15" s="46"/>
      <c r="G15" s="63"/>
      <c r="H15" s="74"/>
      <c r="I15"/>
      <c r="J15" s="75"/>
    </row>
    <row r="16" spans="2:16">
      <c r="B16" s="73" t="s">
        <v>8</v>
      </c>
      <c r="C16" s="7" t="s">
        <v>686</v>
      </c>
      <c r="D16" s="45">
        <v>20</v>
      </c>
      <c r="E16" s="71">
        <f>'Input prices'!D6</f>
        <v>0.42</v>
      </c>
      <c r="F16" s="46"/>
      <c r="G16" s="63"/>
      <c r="H16" s="74">
        <v>50</v>
      </c>
      <c r="I16"/>
      <c r="K16" s="76"/>
    </row>
    <row r="17" spans="2:11">
      <c r="B17" s="73" t="s">
        <v>690</v>
      </c>
      <c r="C17" s="7"/>
      <c r="D17" s="34"/>
      <c r="E17" s="71"/>
      <c r="F17" s="77">
        <v>10</v>
      </c>
      <c r="G17" s="63"/>
      <c r="H17" s="72"/>
      <c r="I17" s="1"/>
      <c r="K17" s="76"/>
    </row>
    <row r="18" spans="2:11">
      <c r="B18" s="73" t="s">
        <v>9</v>
      </c>
      <c r="C18" s="7" t="s">
        <v>859</v>
      </c>
      <c r="D18" s="45">
        <v>0.5</v>
      </c>
      <c r="E18" s="71">
        <f>'Input prices'!D7</f>
        <v>35</v>
      </c>
      <c r="F18" s="78"/>
      <c r="G18" s="63"/>
      <c r="H18" s="72"/>
      <c r="I18" s="9"/>
      <c r="K18" s="79"/>
    </row>
    <row r="19" spans="2:11">
      <c r="B19" s="57" t="s">
        <v>29</v>
      </c>
      <c r="C19" s="7"/>
      <c r="D19" s="34"/>
      <c r="E19" s="71"/>
      <c r="F19" s="46">
        <f>SUMPRODUCT(D20:D23,E20:E23)</f>
        <v>80</v>
      </c>
      <c r="G19" s="37"/>
      <c r="H19" s="72"/>
      <c r="I19" s="9"/>
      <c r="K19" s="79"/>
    </row>
    <row r="20" spans="2:11">
      <c r="B20" s="73" t="s">
        <v>15</v>
      </c>
      <c r="C20" s="7" t="s">
        <v>860</v>
      </c>
      <c r="D20" s="45">
        <v>2</v>
      </c>
      <c r="E20" s="69">
        <v>25</v>
      </c>
      <c r="F20" s="46"/>
      <c r="G20" s="37"/>
      <c r="H20" s="72"/>
      <c r="I20" s="9"/>
      <c r="K20" s="79"/>
    </row>
    <row r="21" spans="2:11">
      <c r="B21" s="73" t="s">
        <v>691</v>
      </c>
      <c r="C21" s="7" t="s">
        <v>860</v>
      </c>
      <c r="D21" s="45">
        <v>1</v>
      </c>
      <c r="E21" s="69">
        <v>30</v>
      </c>
      <c r="F21" s="46"/>
      <c r="G21" s="37"/>
      <c r="H21" s="72"/>
      <c r="I21" s="9"/>
      <c r="K21" s="79"/>
    </row>
    <row r="22" spans="2:11">
      <c r="B22" s="73" t="s">
        <v>692</v>
      </c>
      <c r="C22" s="7" t="s">
        <v>860</v>
      </c>
      <c r="D22" s="45">
        <v>0</v>
      </c>
      <c r="E22" s="69">
        <v>0</v>
      </c>
      <c r="F22" s="46"/>
      <c r="G22" s="63"/>
      <c r="H22" s="72"/>
      <c r="I22" s="9"/>
      <c r="K22" s="79"/>
    </row>
    <row r="23" spans="2:11">
      <c r="B23" s="73" t="s">
        <v>879</v>
      </c>
      <c r="C23" s="7" t="s">
        <v>860</v>
      </c>
      <c r="D23" s="45">
        <v>0</v>
      </c>
      <c r="E23" s="69">
        <v>0</v>
      </c>
      <c r="F23" s="46"/>
      <c r="G23" s="63"/>
      <c r="H23" s="72"/>
      <c r="I23" s="9"/>
      <c r="K23" s="79"/>
    </row>
    <row r="24" spans="2:11">
      <c r="B24" s="57" t="s">
        <v>359</v>
      </c>
      <c r="C24" s="7" t="s">
        <v>861</v>
      </c>
      <c r="D24" s="45">
        <v>0</v>
      </c>
      <c r="E24" s="71">
        <f>IFERROR(HLOOKUP($D$3,'Irrigation costs'!$D$2:$F$17,15,FALSE),0)</f>
        <v>0</v>
      </c>
      <c r="F24" s="46">
        <f>D24*E24</f>
        <v>0</v>
      </c>
      <c r="G24" s="63"/>
      <c r="H24" s="72"/>
      <c r="I24" s="9"/>
      <c r="K24" s="80"/>
    </row>
    <row r="25" spans="2:11">
      <c r="B25" s="57" t="s">
        <v>755</v>
      </c>
      <c r="C25" s="7" t="s">
        <v>862</v>
      </c>
      <c r="D25" s="81">
        <v>0</v>
      </c>
      <c r="E25" s="69">
        <v>0.05</v>
      </c>
      <c r="F25" s="46">
        <f>IFERROR(D25*100*E25*D5,0)</f>
        <v>0</v>
      </c>
      <c r="G25" s="63"/>
      <c r="H25" s="72"/>
      <c r="I25" s="9"/>
      <c r="K25" s="79"/>
    </row>
    <row r="26" spans="2:11">
      <c r="B26" s="57" t="s">
        <v>30</v>
      </c>
      <c r="C26" s="7"/>
      <c r="D26" s="34"/>
      <c r="E26" s="71"/>
      <c r="F26" s="58">
        <v>8</v>
      </c>
      <c r="G26" s="63"/>
      <c r="H26" s="72"/>
      <c r="I26" s="1"/>
      <c r="K26" s="76"/>
    </row>
    <row r="27" spans="2:11">
      <c r="B27" s="57" t="s">
        <v>31</v>
      </c>
      <c r="C27" s="7"/>
      <c r="D27" s="34"/>
      <c r="E27" s="71"/>
      <c r="F27" s="58">
        <v>27</v>
      </c>
      <c r="G27" s="63"/>
      <c r="H27" s="72"/>
      <c r="I27" s="9"/>
      <c r="K27" s="82"/>
    </row>
    <row r="28" spans="2:11">
      <c r="B28" s="57" t="s">
        <v>32</v>
      </c>
      <c r="C28" s="7" t="s">
        <v>654</v>
      </c>
      <c r="D28" s="34"/>
      <c r="E28" s="71"/>
      <c r="F28" s="83">
        <f>G58</f>
        <v>14.741999999999999</v>
      </c>
      <c r="G28" s="63"/>
      <c r="H28" s="72"/>
      <c r="I28" s="9"/>
      <c r="K28" s="82"/>
    </row>
    <row r="29" spans="2:11">
      <c r="B29" s="57" t="s">
        <v>808</v>
      </c>
      <c r="C29" s="7" t="s">
        <v>863</v>
      </c>
      <c r="D29" s="34">
        <f>F74</f>
        <v>0.39859935897435894</v>
      </c>
      <c r="E29" s="71">
        <f>'Input prices'!D8</f>
        <v>22.5</v>
      </c>
      <c r="F29" s="83">
        <f>E29*D29</f>
        <v>8.9684855769230758</v>
      </c>
      <c r="G29" s="63"/>
      <c r="H29" s="72"/>
      <c r="I29" s="9"/>
      <c r="K29" s="82"/>
    </row>
    <row r="30" spans="2:11">
      <c r="B30" s="57" t="s">
        <v>702</v>
      </c>
      <c r="C30" s="7" t="s">
        <v>864</v>
      </c>
      <c r="D30" s="34">
        <f>E74</f>
        <v>3.6616105769230769</v>
      </c>
      <c r="E30" s="71">
        <f>'Input prices'!D9</f>
        <v>2.9</v>
      </c>
      <c r="F30" s="83">
        <f>D30*E30</f>
        <v>10.618670673076922</v>
      </c>
      <c r="G30" s="63"/>
      <c r="H30" s="72"/>
      <c r="I30" s="9"/>
      <c r="K30" s="76"/>
    </row>
    <row r="31" spans="2:11">
      <c r="B31" s="57" t="s">
        <v>33</v>
      </c>
      <c r="C31" s="84" t="s">
        <v>654</v>
      </c>
      <c r="D31" s="85"/>
      <c r="E31" s="34"/>
      <c r="F31" s="83">
        <f>G74-F30-F29</f>
        <v>26.558002159865456</v>
      </c>
      <c r="G31" s="63"/>
      <c r="H31" s="72"/>
      <c r="I31" s="9"/>
      <c r="K31" s="86"/>
    </row>
    <row r="32" spans="2:11">
      <c r="B32" s="57" t="s">
        <v>366</v>
      </c>
      <c r="C32" s="84" t="s">
        <v>865</v>
      </c>
      <c r="D32" s="197">
        <v>0.03</v>
      </c>
      <c r="E32" s="34"/>
      <c r="F32" s="83">
        <f>F9*D32</f>
        <v>16.5</v>
      </c>
      <c r="G32" s="63"/>
      <c r="H32" s="72"/>
      <c r="I32" s="9"/>
      <c r="K32" s="87"/>
    </row>
    <row r="33" spans="2:8">
      <c r="B33" s="57" t="s">
        <v>34</v>
      </c>
      <c r="C33" s="7" t="s">
        <v>654</v>
      </c>
      <c r="D33" s="85"/>
      <c r="E33" s="34"/>
      <c r="F33" s="58">
        <v>0</v>
      </c>
      <c r="G33" s="63"/>
      <c r="H33" s="72"/>
    </row>
    <row r="34" spans="2:8">
      <c r="B34" s="57" t="s">
        <v>11</v>
      </c>
      <c r="C34" s="84" t="s">
        <v>866</v>
      </c>
      <c r="D34" s="88">
        <f>SUM(F12:F13,F19,F25:F33)/2</f>
        <v>197.74357920493273</v>
      </c>
      <c r="E34" s="89">
        <f>'Input prices'!D10</f>
        <v>7.2499999999999995E-2</v>
      </c>
      <c r="F34" s="90">
        <f>E34*D34</f>
        <v>14.336409492357621</v>
      </c>
      <c r="G34" s="91"/>
      <c r="H34" s="72"/>
    </row>
    <row r="35" spans="2:8">
      <c r="B35" s="60" t="s">
        <v>372</v>
      </c>
      <c r="C35" s="92"/>
      <c r="D35" s="61"/>
      <c r="E35" s="34"/>
      <c r="F35" s="62">
        <f>SUM(F12:F13,F19,F24:F34)</f>
        <v>409.82356790222309</v>
      </c>
      <c r="G35" s="63"/>
      <c r="H35" s="72"/>
    </row>
    <row r="36" spans="2:8">
      <c r="B36" s="36"/>
      <c r="C36" s="92"/>
      <c r="D36" s="61"/>
      <c r="E36" s="34"/>
      <c r="F36" s="36"/>
      <c r="G36" s="63"/>
      <c r="H36" s="72"/>
    </row>
    <row r="37" spans="2:8" ht="17.25">
      <c r="B37" s="67" t="s">
        <v>867</v>
      </c>
      <c r="C37" s="40" t="s">
        <v>556</v>
      </c>
      <c r="D37" s="41" t="s">
        <v>25</v>
      </c>
      <c r="E37" s="41" t="s">
        <v>854</v>
      </c>
      <c r="F37" s="41" t="s">
        <v>855</v>
      </c>
      <c r="G37" s="63"/>
      <c r="H37" s="72"/>
    </row>
    <row r="38" spans="2:8">
      <c r="B38" s="57" t="s">
        <v>18</v>
      </c>
      <c r="C38" s="84" t="s">
        <v>865</v>
      </c>
      <c r="D38" s="197">
        <v>0.02</v>
      </c>
      <c r="E38" s="34"/>
      <c r="F38" s="46">
        <f>D38*F9</f>
        <v>11</v>
      </c>
      <c r="G38" s="63"/>
      <c r="H38" s="72"/>
    </row>
    <row r="39" spans="2:8">
      <c r="B39" s="57" t="s">
        <v>376</v>
      </c>
      <c r="C39" s="84" t="s">
        <v>654</v>
      </c>
      <c r="D39" s="61"/>
      <c r="E39" s="34"/>
      <c r="F39" s="46">
        <f>H74+HLOOKUP(D3,'Irrigation costs'!$D$2:$G$17,14, FALSE)</f>
        <v>45.810000767936081</v>
      </c>
      <c r="G39" s="63"/>
      <c r="H39" s="72"/>
    </row>
    <row r="40" spans="2:8">
      <c r="B40" s="57" t="s">
        <v>35</v>
      </c>
      <c r="C40" s="84" t="s">
        <v>654</v>
      </c>
      <c r="D40" s="61"/>
      <c r="E40" s="34"/>
      <c r="F40" s="93">
        <v>112.5</v>
      </c>
      <c r="G40" s="91"/>
      <c r="H40" s="72"/>
    </row>
    <row r="41" spans="2:8">
      <c r="B41" s="60" t="s">
        <v>868</v>
      </c>
      <c r="C41" s="92"/>
      <c r="D41" s="61"/>
      <c r="E41" s="34"/>
      <c r="F41" s="62">
        <f>SUM(F38:F40)</f>
        <v>169.31000076793609</v>
      </c>
      <c r="G41" s="63"/>
      <c r="H41" s="72"/>
    </row>
    <row r="42" spans="2:8">
      <c r="B42" s="36"/>
      <c r="C42" s="34"/>
      <c r="D42" s="61"/>
      <c r="E42" s="34"/>
      <c r="F42" s="46"/>
      <c r="G42" s="91"/>
      <c r="H42" s="72"/>
    </row>
    <row r="43" spans="2:8" ht="15" customHeight="1">
      <c r="B43" s="60" t="s">
        <v>375</v>
      </c>
      <c r="C43" s="34"/>
      <c r="D43" s="61"/>
      <c r="E43" s="61"/>
      <c r="F43" s="62">
        <f>F35+F41</f>
        <v>579.13356867015921</v>
      </c>
      <c r="G43" s="37"/>
      <c r="H43" s="72"/>
    </row>
    <row r="44" spans="2:8">
      <c r="B44" s="94"/>
      <c r="C44" s="95"/>
      <c r="D44" s="96"/>
      <c r="E44" s="95"/>
      <c r="F44" s="97"/>
      <c r="G44" s="63"/>
      <c r="H44" s="72"/>
    </row>
    <row r="45" spans="2:8">
      <c r="B45" s="98" t="s">
        <v>367</v>
      </c>
      <c r="C45" s="34"/>
      <c r="D45" s="61"/>
      <c r="E45" s="34"/>
      <c r="F45" s="62">
        <f>F9-F35</f>
        <v>140.17643209777691</v>
      </c>
      <c r="G45" s="63"/>
      <c r="H45" s="72"/>
    </row>
    <row r="46" spans="2:8">
      <c r="B46" s="98" t="s">
        <v>368</v>
      </c>
      <c r="C46" s="34"/>
      <c r="D46" s="61"/>
      <c r="E46" s="34"/>
      <c r="F46" s="62">
        <f>F9-F43</f>
        <v>-29.133568670159207</v>
      </c>
      <c r="G46" s="37"/>
      <c r="H46" s="72"/>
    </row>
    <row r="47" spans="2:8">
      <c r="B47" s="99" t="s">
        <v>369</v>
      </c>
      <c r="C47" s="100"/>
      <c r="D47" s="101"/>
      <c r="E47" s="100"/>
      <c r="F47" s="102">
        <f>F9-F43+F40+F32</f>
        <v>99.866431329840793</v>
      </c>
      <c r="G47" s="63"/>
      <c r="H47" s="72"/>
    </row>
    <row r="48" spans="2:8">
      <c r="B48" s="36"/>
      <c r="C48" s="34"/>
      <c r="D48" s="34" t="s">
        <v>36</v>
      </c>
      <c r="E48" s="34"/>
      <c r="F48" s="46">
        <f>F35/D5</f>
        <v>8.1964713580444624</v>
      </c>
      <c r="G48" s="63"/>
      <c r="H48" s="72"/>
    </row>
    <row r="49" spans="2:9">
      <c r="B49" s="36"/>
      <c r="C49" s="34"/>
      <c r="D49" s="34" t="s">
        <v>37</v>
      </c>
      <c r="E49" s="34"/>
      <c r="F49" s="46">
        <f>F41/D5</f>
        <v>3.3862000153587219</v>
      </c>
      <c r="G49" s="63"/>
      <c r="H49" s="72"/>
    </row>
    <row r="50" spans="2:9">
      <c r="B50" s="103"/>
      <c r="C50" s="100"/>
      <c r="D50" s="100" t="s">
        <v>38</v>
      </c>
      <c r="E50" s="100"/>
      <c r="F50" s="90">
        <f>F43/D5</f>
        <v>11.582671373403183</v>
      </c>
      <c r="G50" s="63"/>
      <c r="H50" s="72"/>
    </row>
    <row r="51" spans="2:9">
      <c r="B51" s="37"/>
      <c r="C51" s="63"/>
      <c r="D51" s="104"/>
      <c r="E51" s="63"/>
      <c r="F51" s="37"/>
      <c r="G51" s="63"/>
      <c r="H51" s="72"/>
    </row>
    <row r="52" spans="2:9">
      <c r="B52" s="302" t="s">
        <v>869</v>
      </c>
      <c r="C52" s="302"/>
      <c r="D52" s="302"/>
      <c r="E52" s="302"/>
      <c r="F52" s="302"/>
      <c r="G52" s="106"/>
      <c r="H52" s="72"/>
    </row>
    <row r="53" spans="2:9">
      <c r="B53" s="107" t="s">
        <v>560</v>
      </c>
      <c r="C53" s="108" t="s">
        <v>561</v>
      </c>
      <c r="D53" s="108" t="s">
        <v>556</v>
      </c>
      <c r="E53" s="108" t="s">
        <v>754</v>
      </c>
      <c r="F53" s="108" t="s">
        <v>10</v>
      </c>
      <c r="G53" s="109" t="s">
        <v>698</v>
      </c>
      <c r="H53" s="72"/>
    </row>
    <row r="54" spans="2:9">
      <c r="B54" s="110" t="s">
        <v>563</v>
      </c>
      <c r="C54" s="111">
        <f>IF(ISBLANK($B54),"",VLOOKUP($B54,'Machinery Input Tables'!$C$133:$F$184,2,FALSE))</f>
        <v>7.3709999999999996</v>
      </c>
      <c r="D54" s="111" t="str">
        <f>IF(ISBLANK($B54),"",VLOOKUP($B54,'Machinery Input Tables'!$C$133:$F$184,3,FALSE))</f>
        <v>per acre</v>
      </c>
      <c r="E54" s="112"/>
      <c r="F54" s="110">
        <v>2</v>
      </c>
      <c r="G54" s="113">
        <f>IFERROR(C54*F54*IF(D54="per acre",1,E54),"-")</f>
        <v>14.741999999999999</v>
      </c>
      <c r="H54" s="72"/>
    </row>
    <row r="55" spans="2:9">
      <c r="B55" s="110"/>
      <c r="C55" s="111" t="str">
        <f>IF(ISBLANK($B55),"",VLOOKUP($B55,'Machinery Input Tables'!$C$133:$F$184,2,FALSE))</f>
        <v/>
      </c>
      <c r="D55" s="111" t="str">
        <f>IF(ISBLANK($B55),"",VLOOKUP($B55,'Machinery Input Tables'!$C$133:$F$184,3,FALSE))</f>
        <v/>
      </c>
      <c r="E55" s="112"/>
      <c r="F55" s="110"/>
      <c r="G55" s="113" t="str">
        <f t="shared" ref="G55:G57" si="1">IFERROR(C55*F55*IF(D55="per acre",1,E55),"-")</f>
        <v>-</v>
      </c>
      <c r="H55" s="72"/>
    </row>
    <row r="56" spans="2:9">
      <c r="B56" s="114"/>
      <c r="C56" s="111" t="str">
        <f>IF(ISBLANK($B56),"",VLOOKUP($B56,'Machinery Input Tables'!$C$133:$F$184,2,FALSE))</f>
        <v/>
      </c>
      <c r="D56" s="111" t="str">
        <f>IF(ISBLANK($B56),"",VLOOKUP($B56,'Machinery Input Tables'!$C$133:$F$184,3,FALSE))</f>
        <v/>
      </c>
      <c r="E56" s="114"/>
      <c r="F56" s="114"/>
      <c r="G56" s="113" t="str">
        <f t="shared" si="1"/>
        <v>-</v>
      </c>
      <c r="H56" s="72"/>
    </row>
    <row r="57" spans="2:9">
      <c r="B57" s="115"/>
      <c r="C57" s="116" t="str">
        <f>IF(ISBLANK($B57),"",VLOOKUP($B57,'Machinery Input Tables'!$C$133:$F$184,2,FALSE))</f>
        <v/>
      </c>
      <c r="D57" s="117" t="str">
        <f>IF(ISBLANK($B57),"",VLOOKUP($B57,'Machinery Input Tables'!$C$133:$F$184,3,FALSE))</f>
        <v/>
      </c>
      <c r="E57" s="115"/>
      <c r="F57" s="115"/>
      <c r="G57" s="118" t="str">
        <f t="shared" si="1"/>
        <v>-</v>
      </c>
      <c r="H57" s="72"/>
    </row>
    <row r="58" spans="2:9">
      <c r="B58" s="119" t="s">
        <v>699</v>
      </c>
      <c r="C58" s="120"/>
      <c r="D58" s="119"/>
      <c r="E58" s="120"/>
      <c r="F58" s="120"/>
      <c r="G58" s="121">
        <f>SUM(G54:G57)</f>
        <v>14.741999999999999</v>
      </c>
      <c r="H58" s="72"/>
    </row>
    <row r="59" spans="2:9" s="6" customFormat="1" ht="17.25">
      <c r="B59" s="302" t="s">
        <v>870</v>
      </c>
      <c r="C59" s="302"/>
      <c r="D59" s="302"/>
      <c r="E59" s="302"/>
      <c r="F59" s="302"/>
      <c r="G59" s="302"/>
      <c r="H59" s="302"/>
      <c r="I59" s="302"/>
    </row>
    <row r="60" spans="2:9">
      <c r="B60" s="303" t="s">
        <v>497</v>
      </c>
      <c r="C60" s="305" t="s">
        <v>498</v>
      </c>
      <c r="D60" s="123" t="s">
        <v>871</v>
      </c>
      <c r="E60" s="305" t="s">
        <v>499</v>
      </c>
      <c r="F60" s="305" t="s">
        <v>500</v>
      </c>
      <c r="G60" s="122" t="s">
        <v>501</v>
      </c>
      <c r="H60" s="122" t="s">
        <v>502</v>
      </c>
      <c r="I60" s="307" t="s">
        <v>503</v>
      </c>
    </row>
    <row r="61" spans="2:9">
      <c r="B61" s="304"/>
      <c r="C61" s="306"/>
      <c r="D61" s="125" t="s">
        <v>872</v>
      </c>
      <c r="E61" s="306"/>
      <c r="F61" s="306"/>
      <c r="G61" s="124" t="s">
        <v>516</v>
      </c>
      <c r="H61" s="124" t="s">
        <v>516</v>
      </c>
      <c r="I61" s="308"/>
    </row>
    <row r="62" spans="2:9">
      <c r="B62" s="126"/>
      <c r="C62" s="127" t="s">
        <v>873</v>
      </c>
      <c r="D62" s="128" t="s">
        <v>522</v>
      </c>
      <c r="E62" s="128" t="s">
        <v>519</v>
      </c>
      <c r="F62" s="128" t="s">
        <v>520</v>
      </c>
      <c r="G62" s="128" t="s">
        <v>521</v>
      </c>
      <c r="H62" s="128" t="s">
        <v>521</v>
      </c>
      <c r="I62" s="128" t="s">
        <v>523</v>
      </c>
    </row>
    <row r="63" spans="2:9">
      <c r="B63" s="129" t="s">
        <v>801</v>
      </c>
      <c r="C63" s="129" t="s">
        <v>649</v>
      </c>
      <c r="D63" s="130">
        <v>1</v>
      </c>
      <c r="E63" s="131">
        <f>IFERROR(IF(ISBLANK(C63),"",IF(OR(ISBLANK(B63),IFERROR(VLOOKUP(B63,'Machinery Input Tables'!$B$6:$AF$121,13,FALSE),"")='Machinery Input Tables'!$N$128),1,VLOOKUP(B63,'Machinery Input Tables'!$B$6:$AF$121,28,FALSE))*VLOOKUP(C63,'Machinery Input Tables'!$AH$6:$BA$32,19,FALSE))*D63,"-")</f>
        <v>0.63292307692307692</v>
      </c>
      <c r="F63" s="131">
        <f>IFERROR(IF(AND(ISBLANK(B63)*ISBLANK(C63)),"",IF(ISBLANK(B63),1,IF(VLOOKUP(B63,'Machinery Input Tables'!$B$6:$AF$121,13,FALSE)='Machinery Input Tables'!$N$128,VLOOKUP(B63,'Machinery Input Tables'!$B$6:$AF$121,17,FALSE),VLOOKUP(B63,'Machinery Input Tables'!$B$6:$AF$121,28,FALSE))))*D63,"-")</f>
        <v>4.230769230769231E-2</v>
      </c>
      <c r="G63" s="132">
        <f>IFERROR(IF(ISBLANK(C63),"",E63*'Machinery Input Tables'!$BP$10*'Machinery Input Tables'!$BP$11+E63*'Machinery Input Tables'!$BP$10+F63*'Machinery Input Tables'!$BP$6+(VLOOKUP(C63,'Machinery Input Tables'!$AH$6:$BA$32,18,FALSE)*IF(IFERROR(VLOOKUP(B63,'Machinery Input Tables'!$B$6:$AF$121,13,FALSE)='Machinery Input Tables'!$N$128,1),1,VLOOKUP(B63,'Machinery Input Tables'!$B$6:$AF$121,28,FALSE))+IFERROR(VLOOKUP(B63,'Machinery Input Tables'!$B$6:$AF$121,27,FALSE),0))*D63),"-")</f>
        <v>10.778029393857556</v>
      </c>
      <c r="H63" s="132">
        <f>IFERROR((IFERROR(VLOOKUP(B63,'Machinery Input Tables'!$B$6:$AF$121,24,FALSE),0)+VLOOKUP(C63,'Machinery Input Tables'!$AH$6:$BA$32,20,FALSE))*IF(IFERROR(VLOOKUP(B63,'Machinery Input Tables'!$B$6:$AF$121,13,FALSE)='Machinery Input Tables'!$N$128,1),1,VLOOKUP(B63,'Machinery Input Tables'!$B$6:$AF$121,28,FALSE))*D63,"-")</f>
        <v>13.991922328083596</v>
      </c>
      <c r="I63" s="132">
        <f>IFERROR(IF(ISBLANK(AND(B63,C63)),"",SUM(G63:H63)),"-")</f>
        <v>24.769951721941155</v>
      </c>
    </row>
    <row r="64" spans="2:9">
      <c r="B64" s="129" t="s">
        <v>694</v>
      </c>
      <c r="C64" s="129" t="s">
        <v>678</v>
      </c>
      <c r="D64" s="130">
        <v>3</v>
      </c>
      <c r="E64" s="131">
        <f>IFERROR(IF(ISBLANK(C64),"",IF(OR(ISBLANK(B64),IFERROR(VLOOKUP(B64,'Machinery Input Tables'!$B$6:$AF$121,13,FALSE),"")='Machinery Input Tables'!$N$128),1,VLOOKUP(B64,'Machinery Input Tables'!$B$6:$AF$121,28,FALSE))*VLOOKUP(C64,'Machinery Input Tables'!$AH$6:$BA$32,19,FALSE))*D64,"-")</f>
        <v>0.37812499999999999</v>
      </c>
      <c r="F64" s="131">
        <f>IFERROR(IF(AND(ISBLANK(B64)*ISBLANK(C64)),"",IF(ISBLANK(B64),1,IF(VLOOKUP(B64,'Machinery Input Tables'!$B$6:$AF$121,13,FALSE)='Machinery Input Tables'!$N$128,VLOOKUP(B64,'Machinery Input Tables'!$B$6:$AF$121,17,FALSE),VLOOKUP(B64,'Machinery Input Tables'!$B$6:$AF$121,28,FALSE))))*D64,"-")</f>
        <v>2.75E-2</v>
      </c>
      <c r="G64" s="132">
        <f>IFERROR(IF(ISBLANK(C64),"",E64*'Machinery Input Tables'!$BP$10+F64*'Machinery Input Tables'!$BP$6+(VLOOKUP(C64,'Machinery Input Tables'!$AH$6:$BA$32,18,FALSE)*IF(IFERROR(VLOOKUP(B64,'Machinery Input Tables'!$B$6:$AF$121,13,FALSE)='Machinery Input Tables'!$N$128,1),1,VLOOKUP(B64,'Machinery Input Tables'!$B$6:$AF$121,28,FALSE))+IFERROR(VLOOKUP(B64,'Machinery Input Tables'!$B$6:$AF$121,27,FALSE),0))*D64),"-")</f>
        <v>8.4357110346734672</v>
      </c>
      <c r="H64" s="132">
        <f>IFERROR((IFERROR(VLOOKUP(B64,'Machinery Input Tables'!$B$6:$AF$121,24,FALSE),0)+VLOOKUP(C64,'Machinery Input Tables'!$AH$6:$BA$32,20,FALSE))*IF(IFERROR(VLOOKUP(B64,'Machinery Input Tables'!$B$6:$AF$121,13,FALSE)='Machinery Input Tables'!$N$128,1),1,VLOOKUP(B64,'Machinery Input Tables'!$B$6:$AF$121,28,FALSE))*D64,"-")</f>
        <v>4.8001105747396</v>
      </c>
      <c r="I64" s="132">
        <f t="shared" ref="I64:I73" si="2">IFERROR(IF(ISBLANK(AND(B64,C64)),"",SUM(G64:H64)),"-")</f>
        <v>13.235821609413067</v>
      </c>
    </row>
    <row r="65" spans="2:9">
      <c r="B65" s="129" t="s">
        <v>751</v>
      </c>
      <c r="C65" s="129" t="s">
        <v>848</v>
      </c>
      <c r="D65" s="130">
        <v>1</v>
      </c>
      <c r="E65" s="131">
        <f>IFERROR(IF(ISBLANK(C65),"",IF(OR(ISBLANK(B65),IFERROR(VLOOKUP(B65,'Machinery Input Tables'!$B$6:$AF$121,13,FALSE),"")='Machinery Input Tables'!$N$128),1,VLOOKUP(B65,'Machinery Input Tables'!$B$6:$AF$121,28,FALSE))*VLOOKUP(C65,'Machinery Input Tables'!$AH$6:$BA$32,19,FALSE))*D65,"-")</f>
        <v>1.2890625</v>
      </c>
      <c r="F65" s="131">
        <f>IFERROR(IF(AND(ISBLANK(B65)*ISBLANK(C65)),"",IF(ISBLANK(B65),1,IF(VLOOKUP(B65,'Machinery Input Tables'!$B$6:$AF$121,13,FALSE)='Machinery Input Tables'!$N$128,VLOOKUP(B65,'Machinery Input Tables'!$B$6:$AF$121,17,FALSE),VLOOKUP(B65,'Machinery Input Tables'!$B$6:$AF$121,28,FALSE))))*D65,"-")</f>
        <v>5.7291666666666664E-2</v>
      </c>
      <c r="G65" s="132">
        <f>IFERROR(IF(ISBLANK(C65),"",E65*'Machinery Input Tables'!$BP$10+F65*'Machinery Input Tables'!$BP$6+(VLOOKUP(C65,'Machinery Input Tables'!$AH$6:$BA$32,18,FALSE)*IF(IFERROR(VLOOKUP(B65,'Machinery Input Tables'!$B$6:$AF$121,13,FALSE)='Machinery Input Tables'!$N$128,1),1,VLOOKUP(B65,'Machinery Input Tables'!$B$6:$AF$121,28,FALSE))+IFERROR(VLOOKUP(B65,'Machinery Input Tables'!$B$6:$AF$121,27,FALSE),0))*D65),"-")</f>
        <v>10.959267140052072</v>
      </c>
      <c r="H65" s="132">
        <f>IFERROR((IFERROR(VLOOKUP(B65,'Machinery Input Tables'!$B$6:$AF$121,24,FALSE),0)+VLOOKUP(C65,'Machinery Input Tables'!$AH$6:$BA$32,20,FALSE))*IF(IFERROR(VLOOKUP(B65,'Machinery Input Tables'!$B$6:$AF$121,13,FALSE)='Machinery Input Tables'!$N$128,1),1,VLOOKUP(B65,'Machinery Input Tables'!$B$6:$AF$121,28,FALSE))*D65,"-")</f>
        <v>16.907479145828638</v>
      </c>
      <c r="I65" s="132">
        <f t="shared" si="2"/>
        <v>27.866746285880708</v>
      </c>
    </row>
    <row r="66" spans="2:9">
      <c r="B66" s="129" t="s">
        <v>729</v>
      </c>
      <c r="C66" s="129" t="s">
        <v>849</v>
      </c>
      <c r="D66" s="130">
        <v>0.06</v>
      </c>
      <c r="E66" s="131">
        <f>IFERROR(IF(ISBLANK(C66),"",IF(OR(ISBLANK(B66),IFERROR(VLOOKUP(B66,'Machinery Input Tables'!$B$6:$AF$121,13,FALSE),"")='Machinery Input Tables'!$N$128),1,VLOOKUP(B66,'Machinery Input Tables'!$B$6:$AF$121,28,FALSE))*VLOOKUP(C66,'Machinery Input Tables'!$AH$6:$BA$32,19,FALSE))*D66,"-")</f>
        <v>0.42749999999999999</v>
      </c>
      <c r="F66" s="131">
        <f>IFERROR(IF(AND(ISBLANK(B66)*ISBLANK(C66)),"",IF(ISBLANK(B66),1,IF(VLOOKUP(B66,'Machinery Input Tables'!$B$6:$AF$121,13,FALSE)='Machinery Input Tables'!$N$128,VLOOKUP(B66,'Machinery Input Tables'!$B$6:$AF$121,17,FALSE),VLOOKUP(B66,'Machinery Input Tables'!$B$6:$AF$121,28,FALSE))))*D66,"-")</f>
        <v>6.6000000000000003E-2</v>
      </c>
      <c r="G66" s="132">
        <f>IFERROR(IF(ISBLANK(C66),"",E66*'Machinery Input Tables'!$BP$10+F66*'Machinery Input Tables'!$BP$6+(VLOOKUP(C66,'Machinery Input Tables'!$AH$6:$BA$32,18,FALSE)*IF(IFERROR(VLOOKUP(B66,'Machinery Input Tables'!$B$6:$AF$121,13,FALSE)='Machinery Input Tables'!$N$128,1),1,VLOOKUP(B66,'Machinery Input Tables'!$B$6:$AF$121,28,FALSE))+IFERROR(VLOOKUP(B66,'Machinery Input Tables'!$B$6:$AF$121,27,FALSE),0))*D66),"-")</f>
        <v>4.3727846098243575</v>
      </c>
      <c r="H66" s="132">
        <f>IFERROR((IFERROR(VLOOKUP(B66,'Machinery Input Tables'!$B$6:$AF$121,24,FALSE),0)+VLOOKUP(C66,'Machinery Input Tables'!$AH$6:$BA$32,20,FALSE))*IF(IFERROR(VLOOKUP(B66,'Machinery Input Tables'!$B$6:$AF$121,13,FALSE)='Machinery Input Tables'!$N$128,1),1,VLOOKUP(B66,'Machinery Input Tables'!$B$6:$AF$121,28,FALSE))*D66,"-")</f>
        <v>2.267247308853189</v>
      </c>
      <c r="I66" s="132">
        <f t="shared" si="2"/>
        <v>6.6400319186775469</v>
      </c>
    </row>
    <row r="67" spans="2:9">
      <c r="B67" s="129" t="s">
        <v>846</v>
      </c>
      <c r="C67" s="129" t="s">
        <v>693</v>
      </c>
      <c r="D67" s="130">
        <v>0.03</v>
      </c>
      <c r="E67" s="131">
        <f>IFERROR(IF(ISBLANK(C67),"",IF(OR(ISBLANK(B67),IFERROR(VLOOKUP(B67,'Machinery Input Tables'!$B$6:$AF$121,13,FALSE),"")='Machinery Input Tables'!$N$128),1,VLOOKUP(B67,'Machinery Input Tables'!$B$6:$AF$121,28,FALSE))*VLOOKUP(C67,'Machinery Input Tables'!$AH$6:$BA$32,19,FALSE))*D67,"-")</f>
        <v>0.36959999999999993</v>
      </c>
      <c r="F67" s="131">
        <f>IFERROR(IF(AND(ISBLANK(B67)*ISBLANK(C67)),"",IF(ISBLANK(B67),1,IF(VLOOKUP(B67,'Machinery Input Tables'!$B$6:$AF$121,13,FALSE)='Machinery Input Tables'!$N$128,VLOOKUP(B67,'Machinery Input Tables'!$B$6:$AF$121,17,FALSE),VLOOKUP(B67,'Machinery Input Tables'!$B$6:$AF$121,28,FALSE))))*D67,"-")</f>
        <v>3.4499999999999996E-2</v>
      </c>
      <c r="G67" s="132">
        <f>IFERROR(IF(ISBLANK(C67),"",E67*'Machinery Input Tables'!$BP$10+F67*'Machinery Input Tables'!$BP$6+(VLOOKUP(C67,'Machinery Input Tables'!$AH$6:$BA$32,18,FALSE)*IF(IFERROR(VLOOKUP(B67,'Machinery Input Tables'!$B$6:$AF$121,13,FALSE)='Machinery Input Tables'!$N$128,1),1,VLOOKUP(B67,'Machinery Input Tables'!$B$6:$AF$121,28,FALSE))+IFERROR(VLOOKUP(B67,'Machinery Input Tables'!$B$6:$AF$121,27,FALSE),0))*D67),"-")</f>
        <v>3.2280993039057222</v>
      </c>
      <c r="H67" s="132">
        <f>IFERROR((IFERROR(VLOOKUP(B67,'Machinery Input Tables'!$B$6:$AF$121,24,FALSE),0)+VLOOKUP(C67,'Machinery Input Tables'!$AH$6:$BA$32,20,FALSE))*IF(IFERROR(VLOOKUP(B67,'Machinery Input Tables'!$B$6:$AF$121,13,FALSE)='Machinery Input Tables'!$N$128,1),1,VLOOKUP(B67,'Machinery Input Tables'!$B$6:$AF$121,28,FALSE))*D67,"-")</f>
        <v>3.9841700808568095</v>
      </c>
      <c r="I67" s="132">
        <f t="shared" si="2"/>
        <v>7.2122693847625321</v>
      </c>
    </row>
    <row r="68" spans="2:9">
      <c r="B68" s="129" t="s">
        <v>904</v>
      </c>
      <c r="C68" s="129" t="s">
        <v>804</v>
      </c>
      <c r="D68" s="130">
        <v>0.02</v>
      </c>
      <c r="E68" s="131">
        <f>IFERROR(IF(ISBLANK(C68),"",IF(OR(ISBLANK(B68),IFERROR(VLOOKUP(B68,'Machinery Input Tables'!$B$6:$AF$121,13,FALSE),"")='Machinery Input Tables'!$N$128),1,VLOOKUP(B68,'Machinery Input Tables'!$B$6:$AF$121,28,FALSE))*VLOOKUP(C68,'Machinery Input Tables'!$AH$6:$BA$32,19,FALSE))*D68,"-")</f>
        <v>0.1144</v>
      </c>
      <c r="F68" s="131">
        <f>IFERROR(IF(AND(ISBLANK(B68)*ISBLANK(C68)),"",IF(ISBLANK(B68),1,IF(VLOOKUP(B68,'Machinery Input Tables'!$B$6:$AF$121,13,FALSE)='Machinery Input Tables'!$N$128,VLOOKUP(B68,'Machinery Input Tables'!$B$6:$AF$121,17,FALSE),VLOOKUP(B68,'Machinery Input Tables'!$B$6:$AF$121,28,FALSE))))*D68,"-")</f>
        <v>2.1000000000000001E-2</v>
      </c>
      <c r="G68" s="132">
        <f>IFERROR(IF(ISBLANK(C68),"",E68*'Machinery Input Tables'!$BP$10+F68*'Machinery Input Tables'!$BP$6+(VLOOKUP(C68,'Machinery Input Tables'!$AH$6:$BA$32,18,FALSE)*IF(IFERROR(VLOOKUP(B68,'Machinery Input Tables'!$B$6:$AF$121,13,FALSE)='Machinery Input Tables'!$N$128,1),1,VLOOKUP(B68,'Machinery Input Tables'!$B$6:$AF$121,28,FALSE))+IFERROR(VLOOKUP(B68,'Machinery Input Tables'!$B$6:$AF$121,27,FALSE),0))*D68),"-")</f>
        <v>1.1412669275522791</v>
      </c>
      <c r="H68" s="132">
        <f>IFERROR((IFERROR(VLOOKUP(B68,'Machinery Input Tables'!$B$6:$AF$121,24,FALSE),0)+VLOOKUP(C68,'Machinery Input Tables'!$AH$6:$BA$32,20,FALSE))*IF(IFERROR(VLOOKUP(B68,'Machinery Input Tables'!$B$6:$AF$121,13,FALSE)='Machinery Input Tables'!$N$128,1),1,VLOOKUP(B68,'Machinery Input Tables'!$B$6:$AF$121,28,FALSE))*D68,"-")</f>
        <v>0.88121258762975607</v>
      </c>
      <c r="I68" s="132">
        <f t="shared" si="2"/>
        <v>2.0224795151820354</v>
      </c>
    </row>
    <row r="69" spans="2:9">
      <c r="B69" s="129"/>
      <c r="C69" s="129" t="s">
        <v>695</v>
      </c>
      <c r="D69" s="130">
        <v>0.15</v>
      </c>
      <c r="E69" s="131">
        <f>IFERROR(IF(ISBLANK(C69),"",IF(OR(ISBLANK(B69),IFERROR(VLOOKUP(B69,'Machinery Input Tables'!$B$6:$AF$121,13,FALSE),"")='Machinery Input Tables'!$N$128),1,VLOOKUP(B69,'Machinery Input Tables'!$B$6:$AF$121,28,FALSE))*VLOOKUP(C69,'Machinery Input Tables'!$AH$6:$BA$32,19,FALSE))*D69,"-")</f>
        <v>0.44999999999999996</v>
      </c>
      <c r="F69" s="131">
        <f>IFERROR(IF(AND(ISBLANK(B69)*ISBLANK(C69)),"",IF(ISBLANK(B69),1,IF(VLOOKUP(B69,'Machinery Input Tables'!$B$6:$AF$121,13,FALSE)='Machinery Input Tables'!$N$128,VLOOKUP(B69,'Machinery Input Tables'!$B$6:$AF$121,17,FALSE),VLOOKUP(B69,'Machinery Input Tables'!$B$6:$AF$121,28,FALSE))))*D69,"-")</f>
        <v>0.15</v>
      </c>
      <c r="G69" s="132">
        <f>IFERROR(IF(ISBLANK(C69),"",E69*'Machinery Input Tables'!$BP$10+F69*'Machinery Input Tables'!$BP$6+(VLOOKUP(C69,'Machinery Input Tables'!$AH$6:$BA$32,18,FALSE)*IF(IFERROR(VLOOKUP(B69,'Machinery Input Tables'!$B$6:$AF$121,13,FALSE)='Machinery Input Tables'!$N$128,1),1,VLOOKUP(B69,'Machinery Input Tables'!$B$6:$AF$121,28,FALSE))+IFERROR(VLOOKUP(B69,'Machinery Input Tables'!$B$6:$AF$121,27,FALSE),0))*D69),"-")</f>
        <v>7.2299999999999995</v>
      </c>
      <c r="H69" s="132">
        <f>IFERROR((IFERROR(VLOOKUP(B69,'Machinery Input Tables'!$B$6:$AF$121,24,FALSE),0)+VLOOKUP(C69,'Machinery Input Tables'!$AH$6:$BA$32,20,FALSE))*IF(IFERROR(VLOOKUP(B69,'Machinery Input Tables'!$B$6:$AF$121,13,FALSE)='Machinery Input Tables'!$N$128,1),1,VLOOKUP(B69,'Machinery Input Tables'!$B$6:$AF$121,28,FALSE))*D69,"-")</f>
        <v>2.9778587419445004</v>
      </c>
      <c r="I69" s="132">
        <f t="shared" si="2"/>
        <v>10.2078587419445</v>
      </c>
    </row>
    <row r="70" spans="2:9">
      <c r="B70" s="129"/>
      <c r="C70" s="129"/>
      <c r="D70" s="130"/>
      <c r="E70" s="131" t="str">
        <f>IFERROR(IF(ISBLANK(C70),"",IF(OR(ISBLANK(B70),IFERROR(VLOOKUP(B70,'Machinery Input Tables'!$B$6:$AF$121,13,FALSE),"")='Machinery Input Tables'!$N$128),1,VLOOKUP(B70,'Machinery Input Tables'!$B$6:$AF$121,28,FALSE))*VLOOKUP(C70,'Machinery Input Tables'!$AH$6:$BA$32,19,FALSE))*D70,"-")</f>
        <v>-</v>
      </c>
      <c r="F70" s="131" t="str">
        <f>IFERROR(IF(AND(ISBLANK(B70)*ISBLANK(C70)),"",IF(ISBLANK(B70),1,IF(VLOOKUP(B70,'Machinery Input Tables'!$B$6:$AF$121,13,FALSE)='Machinery Input Tables'!$N$128,VLOOKUP(B70,'Machinery Input Tables'!$B$6:$AF$121,17,FALSE),VLOOKUP(B70,'Machinery Input Tables'!$B$6:$AF$121,28,FALSE))))*D70,"-")</f>
        <v>-</v>
      </c>
      <c r="G70" s="132" t="str">
        <f>IFERROR(IF(ISBLANK(C70),"",E70*'Machinery Input Tables'!$BP$10+F70*'Machinery Input Tables'!$BP$6+(VLOOKUP(C70,'Machinery Input Tables'!$AH$6:$BA$32,18,FALSE)*IF(IFERROR(VLOOKUP(B70,'Machinery Input Tables'!$B$6:$AF$121,13,FALSE)='Machinery Input Tables'!$N$128,1),1,VLOOKUP(B70,'Machinery Input Tables'!$B$6:$AF$121,28,FALSE))+IFERROR(VLOOKUP(B70,'Machinery Input Tables'!$B$6:$AF$121,27,FALSE),0))*D70),"-")</f>
        <v/>
      </c>
      <c r="H70" s="132" t="str">
        <f>IFERROR((IFERROR(VLOOKUP(B70,'Machinery Input Tables'!$B$6:$AF$121,24,FALSE),0)+VLOOKUP(C70,'Machinery Input Tables'!$AH$6:$BA$32,20,FALSE))*IF(IFERROR(VLOOKUP(B70,'Machinery Input Tables'!$B$6:$AF$121,13,FALSE)='Machinery Input Tables'!$N$128,1),1,VLOOKUP(B70,'Machinery Input Tables'!$B$6:$AF$121,28,FALSE))*D70,"-")</f>
        <v>-</v>
      </c>
      <c r="I70" s="132">
        <f t="shared" si="2"/>
        <v>0</v>
      </c>
    </row>
    <row r="71" spans="2:9">
      <c r="B71" s="129"/>
      <c r="C71" s="129"/>
      <c r="D71" s="130"/>
      <c r="E71" s="131" t="str">
        <f>IFERROR(IF(ISBLANK(C71),"",IF(OR(ISBLANK(B71),IFERROR(VLOOKUP(B71,'Machinery Input Tables'!$B$6:$AF$121,13,FALSE),"")='Machinery Input Tables'!$N$128),1,VLOOKUP(B71,'Machinery Input Tables'!$B$6:$AF$121,28,FALSE))*VLOOKUP(C71,'Machinery Input Tables'!$AH$6:$BA$32,19,FALSE))*D71,"-")</f>
        <v>-</v>
      </c>
      <c r="F71" s="131" t="str">
        <f>IFERROR(IF(AND(ISBLANK(B71)*ISBLANK(C71)),"",IF(ISBLANK(B71),1,IF(VLOOKUP(B71,'Machinery Input Tables'!$B$6:$AF$121,13,FALSE)='Machinery Input Tables'!$N$128,VLOOKUP(B71,'Machinery Input Tables'!$B$6:$AF$121,17,FALSE),VLOOKUP(B71,'Machinery Input Tables'!$B$6:$AF$121,28,FALSE))))*D71,"-")</f>
        <v>-</v>
      </c>
      <c r="G71" s="132" t="str">
        <f>IFERROR(IF(ISBLANK(C71),"",E71*'Machinery Input Tables'!$BP$10+F71*'Machinery Input Tables'!$BP$6+(VLOOKUP(C71,'Machinery Input Tables'!$AH$6:$BA$32,18,FALSE)*IF(IFERROR(VLOOKUP(B71,'Machinery Input Tables'!$B$6:$AF$121,13,FALSE)='Machinery Input Tables'!$N$128,1),1,VLOOKUP(B71,'Machinery Input Tables'!$B$6:$AF$121,28,FALSE))+IFERROR(VLOOKUP(B71,'Machinery Input Tables'!$B$6:$AF$121,27,FALSE),0))*D71),"-")</f>
        <v/>
      </c>
      <c r="H71" s="132" t="str">
        <f>IFERROR((IFERROR(VLOOKUP(B71,'Machinery Input Tables'!$B$6:$AF$121,24,FALSE),0)+VLOOKUP(C71,'Machinery Input Tables'!$AH$6:$BA$32,20,FALSE))*IF(IFERROR(VLOOKUP(B71,'Machinery Input Tables'!$B$6:$AF$121,13,FALSE)='Machinery Input Tables'!$N$128,1),1,VLOOKUP(B71,'Machinery Input Tables'!$B$6:$AF$121,28,FALSE))*D71,"-")</f>
        <v>-</v>
      </c>
      <c r="I71" s="132">
        <f t="shared" si="2"/>
        <v>0</v>
      </c>
    </row>
    <row r="72" spans="2:9">
      <c r="B72" s="129"/>
      <c r="C72" s="129"/>
      <c r="D72" s="130"/>
      <c r="E72" s="131" t="str">
        <f>IFERROR(IF(ISBLANK(C72),"",IF(OR(ISBLANK(B72),IFERROR(VLOOKUP(B72,'Machinery Input Tables'!$B$6:$AF$121,13,FALSE),"")='Machinery Input Tables'!$N$128),1,VLOOKUP(B72,'Machinery Input Tables'!$B$6:$AF$121,28,FALSE))*VLOOKUP(C72,'Machinery Input Tables'!$AH$6:$BA$32,19,FALSE))*D72,"-")</f>
        <v>-</v>
      </c>
      <c r="F72" s="131" t="str">
        <f>IFERROR(IF(AND(ISBLANK(B72)*ISBLANK(C72)),"",IF(ISBLANK(B72),1,IF(VLOOKUP(B72,'Machinery Input Tables'!$B$6:$AF$121,13,FALSE)='Machinery Input Tables'!$N$128,VLOOKUP(B72,'Machinery Input Tables'!$B$6:$AF$121,17,FALSE),VLOOKUP(B72,'Machinery Input Tables'!$B$6:$AF$121,28,FALSE))))*D72,"-")</f>
        <v>-</v>
      </c>
      <c r="G72" s="132" t="str">
        <f>IFERROR(IF(ISBLANK(C72),"",E72*'Machinery Input Tables'!$BP$10+F72*'Machinery Input Tables'!$BP$6+(VLOOKUP(C72,'Machinery Input Tables'!$AH$6:$BA$32,18,FALSE)*IF(IFERROR(VLOOKUP(B72,'Machinery Input Tables'!$B$6:$AF$121,13,FALSE)='Machinery Input Tables'!$N$128,1),1,VLOOKUP(B72,'Machinery Input Tables'!$B$6:$AF$121,28,FALSE))+IFERROR(VLOOKUP(B72,'Machinery Input Tables'!$B$6:$AF$121,27,FALSE),0))*D72),"-")</f>
        <v/>
      </c>
      <c r="H72" s="132" t="str">
        <f>IFERROR((IFERROR(VLOOKUP(B72,'Machinery Input Tables'!$B$6:$AF$121,24,FALSE),0)+VLOOKUP(C72,'Machinery Input Tables'!$AH$6:$BA$32,20,FALSE))*IF(IFERROR(VLOOKUP(B72,'Machinery Input Tables'!$B$6:$AF$121,13,FALSE)='Machinery Input Tables'!$N$128,1),1,VLOOKUP(B72,'Machinery Input Tables'!$B$6:$AF$121,28,FALSE))*D72,"-")</f>
        <v>-</v>
      </c>
      <c r="I72" s="132">
        <f t="shared" si="2"/>
        <v>0</v>
      </c>
    </row>
    <row r="73" spans="2:9">
      <c r="B73" s="133"/>
      <c r="C73" s="133"/>
      <c r="D73" s="134"/>
      <c r="E73" s="135" t="str">
        <f>IFERROR(IF(ISBLANK(C73),"",IF(OR(ISBLANK(B73),IFERROR(VLOOKUP(B73,'Machinery Input Tables'!$B$6:$AF$121,13,FALSE),"")='Machinery Input Tables'!$N$128),1,VLOOKUP(B73,'Machinery Input Tables'!$B$6:$AF$121,28,FALSE))*VLOOKUP(C73,'Machinery Input Tables'!$AH$6:$BA$32,19,FALSE))*D73,"-")</f>
        <v>-</v>
      </c>
      <c r="F73" s="135" t="str">
        <f>IFERROR(IF(AND(ISBLANK(B73)*ISBLANK(C73)),"",IF(ISBLANK(B73),1,IF(VLOOKUP(B73,'Machinery Input Tables'!$B$6:$AF$121,13,FALSE)='Machinery Input Tables'!$N$128,VLOOKUP(B73,'Machinery Input Tables'!$B$6:$AF$121,17,FALSE),VLOOKUP(B73,'Machinery Input Tables'!$B$6:$AF$121,28,FALSE))))*D73,"-")</f>
        <v>-</v>
      </c>
      <c r="G73" s="136" t="str">
        <f>IFERROR(IF(ISBLANK(C73),"",E73*'Machinery Input Tables'!$BP$10+F73*'Machinery Input Tables'!$BP$6+(VLOOKUP(C73,'Machinery Input Tables'!$AH$6:$BA$32,18,FALSE)*IF(IFERROR(VLOOKUP(B73,'Machinery Input Tables'!$B$6:$AF$121,13,FALSE)='Machinery Input Tables'!$N$128,1),1,VLOOKUP(B73,'Machinery Input Tables'!$B$6:$AF$121,28,FALSE))+IFERROR(VLOOKUP(B73,'Machinery Input Tables'!$B$6:$AF$121,27,FALSE),0))*D73),"-")</f>
        <v/>
      </c>
      <c r="H73" s="136" t="str">
        <f>IFERROR((IFERROR(VLOOKUP(B73,'Machinery Input Tables'!$B$6:$AF$121,24,FALSE),0)+VLOOKUP(C73,'Machinery Input Tables'!$AH$6:$BA$32,20,FALSE))*IF(IFERROR(VLOOKUP(B73,'Machinery Input Tables'!$B$6:$AF$121,13,FALSE)='Machinery Input Tables'!$N$128,1),1,VLOOKUP(B73,'Machinery Input Tables'!$B$6:$AF$121,28,FALSE))*D73,"-")</f>
        <v>-</v>
      </c>
      <c r="I73" s="136">
        <f t="shared" si="2"/>
        <v>0</v>
      </c>
    </row>
    <row r="74" spans="2:9">
      <c r="B74" s="126"/>
      <c r="C74" s="137" t="s">
        <v>19</v>
      </c>
      <c r="D74" s="138"/>
      <c r="E74" s="139">
        <f>SUM(E63:E73)</f>
        <v>3.6616105769230769</v>
      </c>
      <c r="F74" s="139">
        <f t="shared" ref="F74:I74" si="3">SUM(F63:F73)</f>
        <v>0.39859935897435894</v>
      </c>
      <c r="G74" s="140">
        <f t="shared" si="3"/>
        <v>46.145158409865452</v>
      </c>
      <c r="H74" s="140">
        <f t="shared" si="3"/>
        <v>45.810000767936081</v>
      </c>
      <c r="I74" s="140">
        <f t="shared" si="3"/>
        <v>91.955159177801562</v>
      </c>
    </row>
    <row r="75" spans="2:9">
      <c r="B75" s="141" t="s">
        <v>874</v>
      </c>
      <c r="C75" s="72"/>
      <c r="D75" s="72"/>
      <c r="E75" s="72"/>
      <c r="F75" s="72"/>
      <c r="G75" s="72"/>
      <c r="H75" s="72"/>
    </row>
    <row r="76" spans="2:9">
      <c r="B76" s="141" t="s">
        <v>875</v>
      </c>
      <c r="C76" s="72"/>
      <c r="D76" s="72"/>
      <c r="E76" s="72"/>
      <c r="F76" s="72"/>
      <c r="G76" s="72"/>
      <c r="H76" s="72"/>
    </row>
    <row r="77" spans="2:9">
      <c r="B77" s="72"/>
      <c r="C77" s="72"/>
      <c r="D77" s="72"/>
      <c r="E77" s="72"/>
      <c r="F77" s="72"/>
      <c r="G77" s="72"/>
      <c r="H77" s="72"/>
    </row>
    <row r="78" spans="2:9" hidden="1">
      <c r="B78" s="72"/>
      <c r="C78" s="72"/>
      <c r="D78" s="72"/>
      <c r="E78" s="72"/>
      <c r="F78" s="72"/>
      <c r="G78" s="72"/>
      <c r="H78" s="72"/>
    </row>
    <row r="79" spans="2:9" hidden="1">
      <c r="H79" s="72"/>
    </row>
    <row r="80" spans="2:9" hidden="1">
      <c r="H80" s="72"/>
    </row>
    <row r="81" spans="2:8" hidden="1">
      <c r="H81" s="72"/>
    </row>
    <row r="82" spans="2:8" hidden="1">
      <c r="H82" s="72"/>
    </row>
    <row r="83" spans="2:8" hidden="1">
      <c r="H83" s="72"/>
    </row>
    <row r="84" spans="2:8" hidden="1">
      <c r="H84" s="72"/>
    </row>
    <row r="85" spans="2:8" hidden="1">
      <c r="H85" s="72"/>
    </row>
    <row r="86" spans="2:8" hidden="1">
      <c r="H86" s="72"/>
    </row>
    <row r="87" spans="2:8" hidden="1">
      <c r="H87" s="72"/>
    </row>
    <row r="88" spans="2:8" hidden="1">
      <c r="H88" s="72"/>
    </row>
    <row r="89" spans="2:8" hidden="1">
      <c r="B89" s="72"/>
      <c r="C89" s="72"/>
      <c r="D89" s="72"/>
      <c r="E89" s="74" t="s">
        <v>803</v>
      </c>
      <c r="F89" s="142">
        <f>F47</f>
        <v>99.866431329840793</v>
      </c>
      <c r="G89" s="72"/>
      <c r="H89" s="72"/>
    </row>
    <row r="90" spans="2:8" hidden="1">
      <c r="B90" s="72"/>
      <c r="C90" s="72"/>
      <c r="D90" s="72"/>
      <c r="E90" s="72"/>
      <c r="F90" s="72"/>
      <c r="G90" s="72"/>
      <c r="H90" s="72"/>
    </row>
    <row r="91" spans="2:8" hidden="1">
      <c r="H91" s="72"/>
    </row>
    <row r="92" spans="2:8" hidden="1">
      <c r="H92" s="72"/>
    </row>
    <row r="93" spans="2:8" hidden="1">
      <c r="H93" s="72"/>
    </row>
    <row r="94" spans="2:8" hidden="1">
      <c r="H94" s="72"/>
    </row>
    <row r="105" spans="8:8" hidden="1">
      <c r="H105" s="72"/>
    </row>
    <row r="106" spans="8:8" hidden="1">
      <c r="H106" s="72"/>
    </row>
    <row r="934" spans="2:3" hidden="1">
      <c r="B934" s="3" t="s">
        <v>41</v>
      </c>
    </row>
    <row r="935" spans="2:3" hidden="1">
      <c r="B935" s="3" t="s">
        <v>42</v>
      </c>
      <c r="C935" s="3">
        <v>5</v>
      </c>
    </row>
    <row r="936" spans="2:3" hidden="1">
      <c r="B936" s="3" t="s">
        <v>43</v>
      </c>
      <c r="C936" s="3">
        <v>1</v>
      </c>
    </row>
    <row r="937" spans="2:3" hidden="1">
      <c r="B937" s="3" t="s">
        <v>44</v>
      </c>
      <c r="C937" s="3">
        <v>1</v>
      </c>
    </row>
    <row r="938" spans="2:3" hidden="1">
      <c r="B938" s="3" t="s">
        <v>45</v>
      </c>
      <c r="C938" s="3">
        <v>2</v>
      </c>
    </row>
    <row r="939" spans="2:3" hidden="1">
      <c r="B939" s="3" t="s">
        <v>46</v>
      </c>
      <c r="C939" s="3">
        <v>1</v>
      </c>
    </row>
    <row r="940" spans="2:3" hidden="1">
      <c r="B940" s="3" t="s">
        <v>47</v>
      </c>
      <c r="C940" s="3">
        <v>0</v>
      </c>
    </row>
    <row r="941" spans="2:3" hidden="1">
      <c r="B941" s="3" t="s">
        <v>48</v>
      </c>
      <c r="C941" s="3">
        <v>0</v>
      </c>
    </row>
    <row r="942" spans="2:3" hidden="1">
      <c r="B942" s="3" t="s">
        <v>49</v>
      </c>
      <c r="C942" s="3">
        <v>0</v>
      </c>
    </row>
    <row r="943" spans="2:3" hidden="1">
      <c r="B943" s="3" t="s">
        <v>50</v>
      </c>
      <c r="C943" s="3">
        <v>0</v>
      </c>
    </row>
    <row r="944" spans="2:3" hidden="1">
      <c r="B944" s="3" t="s">
        <v>51</v>
      </c>
      <c r="C944" s="3">
        <v>0</v>
      </c>
    </row>
    <row r="945" spans="2:3" hidden="1">
      <c r="B945" s="3" t="s">
        <v>52</v>
      </c>
      <c r="C945" s="3">
        <v>0</v>
      </c>
    </row>
    <row r="946" spans="2:3" hidden="1">
      <c r="B946" s="3" t="s">
        <v>53</v>
      </c>
      <c r="C946" s="3" t="b">
        <v>1</v>
      </c>
    </row>
    <row r="947" spans="2:3" hidden="1">
      <c r="B947" s="3" t="s">
        <v>54</v>
      </c>
      <c r="C947" s="3">
        <v>0</v>
      </c>
    </row>
    <row r="948" spans="2:3" hidden="1">
      <c r="B948" s="3" t="s">
        <v>55</v>
      </c>
      <c r="C948" s="3" t="b">
        <v>1</v>
      </c>
    </row>
    <row r="949" spans="2:3" hidden="1">
      <c r="B949" s="3" t="s">
        <v>56</v>
      </c>
      <c r="C949" s="3">
        <v>0</v>
      </c>
    </row>
    <row r="950" spans="2:3" hidden="1">
      <c r="B950" s="3" t="s">
        <v>57</v>
      </c>
      <c r="C950" s="3">
        <v>0</v>
      </c>
    </row>
    <row r="951" spans="2:3" hidden="1">
      <c r="B951" s="3" t="s">
        <v>58</v>
      </c>
      <c r="C951" s="3" t="b">
        <v>1</v>
      </c>
    </row>
    <row r="952" spans="2:3" hidden="1">
      <c r="B952" s="3" t="s">
        <v>59</v>
      </c>
      <c r="C952" s="3">
        <v>0</v>
      </c>
    </row>
    <row r="953" spans="2:3" hidden="1">
      <c r="B953" s="3" t="s">
        <v>60</v>
      </c>
      <c r="C953" s="3">
        <v>0</v>
      </c>
    </row>
    <row r="954" spans="2:3" hidden="1">
      <c r="B954" s="3" t="s">
        <v>61</v>
      </c>
      <c r="C954" s="3">
        <v>0</v>
      </c>
    </row>
    <row r="955" spans="2:3" hidden="1">
      <c r="B955" s="3" t="s">
        <v>62</v>
      </c>
      <c r="C955" s="3">
        <v>0</v>
      </c>
    </row>
    <row r="956" spans="2:3" hidden="1">
      <c r="B956" s="3" t="s">
        <v>63</v>
      </c>
      <c r="C956" s="3" t="s">
        <v>358</v>
      </c>
    </row>
    <row r="957" spans="2:3" hidden="1">
      <c r="B957" s="3" t="s">
        <v>64</v>
      </c>
      <c r="C957" s="3">
        <v>100</v>
      </c>
    </row>
    <row r="958" spans="2:3" hidden="1">
      <c r="B958" s="3" t="s">
        <v>65</v>
      </c>
      <c r="C958" s="3">
        <v>25</v>
      </c>
    </row>
    <row r="959" spans="2:3" hidden="1">
      <c r="B959" s="3" t="s">
        <v>66</v>
      </c>
      <c r="C959" s="3">
        <v>9</v>
      </c>
    </row>
    <row r="960" spans="2:3" hidden="1">
      <c r="B960" s="3" t="s">
        <v>67</v>
      </c>
      <c r="C960" s="3">
        <v>0</v>
      </c>
    </row>
    <row r="961" spans="2:3" hidden="1">
      <c r="B961" s="3" t="s">
        <v>68</v>
      </c>
      <c r="C961" s="3">
        <v>0</v>
      </c>
    </row>
    <row r="962" spans="2:3" hidden="1">
      <c r="B962" s="3" t="s">
        <v>69</v>
      </c>
      <c r="C962" s="3">
        <v>0</v>
      </c>
    </row>
    <row r="963" spans="2:3" hidden="1">
      <c r="B963" s="3" t="s">
        <v>70</v>
      </c>
      <c r="C963" s="3">
        <v>0</v>
      </c>
    </row>
    <row r="964" spans="2:3" hidden="1">
      <c r="B964" s="3" t="s">
        <v>71</v>
      </c>
      <c r="C964" s="3">
        <v>0</v>
      </c>
    </row>
    <row r="965" spans="2:3" hidden="1">
      <c r="B965" s="3" t="s">
        <v>72</v>
      </c>
      <c r="C965" s="3">
        <v>60</v>
      </c>
    </row>
    <row r="966" spans="2:3" hidden="1">
      <c r="B966" s="3" t="s">
        <v>73</v>
      </c>
      <c r="C966" s="3">
        <v>0</v>
      </c>
    </row>
    <row r="967" spans="2:3" hidden="1">
      <c r="B967" s="3" t="s">
        <v>74</v>
      </c>
      <c r="C967" s="3">
        <v>0</v>
      </c>
    </row>
    <row r="968" spans="2:3" hidden="1">
      <c r="B968" s="3" t="s">
        <v>75</v>
      </c>
      <c r="C968" s="3">
        <v>0</v>
      </c>
    </row>
    <row r="969" spans="2:3" hidden="1">
      <c r="B969" s="3" t="s">
        <v>76</v>
      </c>
      <c r="C969" s="3">
        <v>0</v>
      </c>
    </row>
    <row r="970" spans="2:3" hidden="1">
      <c r="B970" s="3" t="s">
        <v>77</v>
      </c>
      <c r="C970" s="3">
        <v>0</v>
      </c>
    </row>
    <row r="971" spans="2:3" hidden="1">
      <c r="B971" s="3" t="s">
        <v>78</v>
      </c>
      <c r="C971" s="3">
        <v>200000</v>
      </c>
    </row>
    <row r="972" spans="2:3" hidden="1">
      <c r="B972" s="3" t="s">
        <v>79</v>
      </c>
      <c r="C972" s="3">
        <v>0</v>
      </c>
    </row>
    <row r="973" spans="2:3" hidden="1">
      <c r="B973" s="3" t="s">
        <v>80</v>
      </c>
      <c r="C973" s="3">
        <v>0</v>
      </c>
    </row>
    <row r="974" spans="2:3" hidden="1">
      <c r="B974" s="3" t="s">
        <v>81</v>
      </c>
      <c r="C974" s="3">
        <v>0</v>
      </c>
    </row>
    <row r="975" spans="2:3" hidden="1">
      <c r="B975" s="3" t="s">
        <v>82</v>
      </c>
      <c r="C975" s="3">
        <v>0</v>
      </c>
    </row>
    <row r="976" spans="2:3" hidden="1">
      <c r="B976" s="3" t="s">
        <v>83</v>
      </c>
      <c r="C976" s="3">
        <v>0</v>
      </c>
    </row>
    <row r="977" spans="2:3" hidden="1">
      <c r="B977" s="3" t="s">
        <v>84</v>
      </c>
      <c r="C977" s="3">
        <v>0</v>
      </c>
    </row>
    <row r="978" spans="2:3" hidden="1">
      <c r="B978" s="3" t="s">
        <v>85</v>
      </c>
      <c r="C978" s="3">
        <v>0</v>
      </c>
    </row>
    <row r="979" spans="2:3" hidden="1">
      <c r="B979" s="3" t="s">
        <v>86</v>
      </c>
      <c r="C979" s="3">
        <v>20</v>
      </c>
    </row>
    <row r="980" spans="2:3" hidden="1">
      <c r="B980" s="3" t="s">
        <v>87</v>
      </c>
      <c r="C980" s="3">
        <v>35</v>
      </c>
    </row>
    <row r="981" spans="2:3" hidden="1">
      <c r="B981" s="3" t="s">
        <v>88</v>
      </c>
      <c r="C981" s="3">
        <v>0</v>
      </c>
    </row>
    <row r="982" spans="2:3" hidden="1">
      <c r="B982" s="3" t="s">
        <v>89</v>
      </c>
      <c r="C982" s="3">
        <v>0</v>
      </c>
    </row>
    <row r="983" spans="2:3" hidden="1">
      <c r="B983" s="3" t="s">
        <v>90</v>
      </c>
      <c r="C983" s="3">
        <v>0</v>
      </c>
    </row>
    <row r="984" spans="2:3" hidden="1">
      <c r="B984" s="3" t="s">
        <v>91</v>
      </c>
      <c r="C984" s="3">
        <v>0</v>
      </c>
    </row>
    <row r="985" spans="2:3" hidden="1">
      <c r="B985" s="3" t="s">
        <v>92</v>
      </c>
      <c r="C985" s="3">
        <v>0</v>
      </c>
    </row>
    <row r="986" spans="2:3" hidden="1">
      <c r="B986" s="3" t="s">
        <v>93</v>
      </c>
      <c r="C986" s="3">
        <v>0</v>
      </c>
    </row>
    <row r="987" spans="2:3" hidden="1">
      <c r="B987" s="3" t="s">
        <v>94</v>
      </c>
      <c r="C987" s="3">
        <v>0.49</v>
      </c>
    </row>
    <row r="988" spans="2:3" hidden="1">
      <c r="B988" s="3" t="s">
        <v>95</v>
      </c>
      <c r="C988" s="3">
        <v>0.4</v>
      </c>
    </row>
    <row r="989" spans="2:3" hidden="1">
      <c r="B989" s="3" t="s">
        <v>96</v>
      </c>
      <c r="C989" s="3">
        <v>0</v>
      </c>
    </row>
    <row r="990" spans="2:3" hidden="1">
      <c r="B990" s="3" t="s">
        <v>97</v>
      </c>
      <c r="C990" s="3">
        <v>0</v>
      </c>
    </row>
    <row r="991" spans="2:3" hidden="1">
      <c r="B991" s="3" t="s">
        <v>98</v>
      </c>
      <c r="C991" s="3">
        <v>0</v>
      </c>
    </row>
    <row r="992" spans="2:3" hidden="1">
      <c r="B992" s="3" t="s">
        <v>99</v>
      </c>
      <c r="C992" s="3">
        <v>0</v>
      </c>
    </row>
    <row r="993" spans="2:3" hidden="1">
      <c r="B993" s="3" t="s">
        <v>100</v>
      </c>
      <c r="C993" s="3">
        <v>0</v>
      </c>
    </row>
    <row r="994" spans="2:3" hidden="1">
      <c r="B994" s="3" t="s">
        <v>101</v>
      </c>
      <c r="C994" s="3">
        <v>0</v>
      </c>
    </row>
    <row r="995" spans="2:3" hidden="1">
      <c r="B995" s="3" t="s">
        <v>102</v>
      </c>
      <c r="C995" s="3">
        <v>1</v>
      </c>
    </row>
    <row r="996" spans="2:3" hidden="1">
      <c r="B996" s="3" t="s">
        <v>103</v>
      </c>
      <c r="C996" s="3">
        <v>0</v>
      </c>
    </row>
    <row r="997" spans="2:3" hidden="1">
      <c r="B997" s="3" t="s">
        <v>104</v>
      </c>
      <c r="C997" s="3">
        <v>0</v>
      </c>
    </row>
    <row r="998" spans="2:3" hidden="1">
      <c r="B998" s="3" t="s">
        <v>105</v>
      </c>
      <c r="C998" s="3">
        <v>1</v>
      </c>
    </row>
    <row r="999" spans="2:3" hidden="1">
      <c r="B999" s="3" t="s">
        <v>106</v>
      </c>
      <c r="C999" s="3">
        <v>0</v>
      </c>
    </row>
    <row r="1000" spans="2:3" hidden="1">
      <c r="B1000" s="3" t="s">
        <v>107</v>
      </c>
      <c r="C1000" s="3">
        <v>0</v>
      </c>
    </row>
    <row r="1001" spans="2:3" hidden="1">
      <c r="B1001" s="3" t="s">
        <v>108</v>
      </c>
      <c r="C1001" s="3">
        <v>0</v>
      </c>
    </row>
    <row r="1002" spans="2:3" hidden="1">
      <c r="B1002" s="3" t="s">
        <v>109</v>
      </c>
      <c r="C1002" s="3">
        <v>0</v>
      </c>
    </row>
    <row r="1003" spans="2:3" hidden="1">
      <c r="B1003" s="3" t="s">
        <v>110</v>
      </c>
      <c r="C1003" s="3">
        <v>8.75</v>
      </c>
    </row>
    <row r="1004" spans="2:3" hidden="1">
      <c r="B1004" s="3" t="s">
        <v>111</v>
      </c>
      <c r="C1004" s="3">
        <v>0</v>
      </c>
    </row>
    <row r="1005" spans="2:3" hidden="1">
      <c r="B1005" s="3" t="s">
        <v>112</v>
      </c>
      <c r="C1005" s="3">
        <v>0</v>
      </c>
    </row>
    <row r="1006" spans="2:3" hidden="1">
      <c r="B1006" s="3" t="s">
        <v>113</v>
      </c>
      <c r="C1006" s="3">
        <v>0</v>
      </c>
    </row>
    <row r="1007" spans="2:3" hidden="1">
      <c r="B1007" s="3" t="s">
        <v>114</v>
      </c>
      <c r="C1007" s="3">
        <v>0</v>
      </c>
    </row>
    <row r="1008" spans="2:3" hidden="1">
      <c r="B1008" s="3" t="s">
        <v>115</v>
      </c>
      <c r="C1008" s="3">
        <v>0</v>
      </c>
    </row>
    <row r="1009" spans="2:3" hidden="1">
      <c r="B1009" s="3" t="s">
        <v>116</v>
      </c>
      <c r="C1009" s="3">
        <v>0</v>
      </c>
    </row>
    <row r="1010" spans="2:3" hidden="1">
      <c r="B1010" s="3" t="s">
        <v>117</v>
      </c>
      <c r="C1010" s="3">
        <v>0</v>
      </c>
    </row>
    <row r="1011" spans="2:3" hidden="1">
      <c r="B1011" s="3" t="s">
        <v>118</v>
      </c>
      <c r="C1011" s="3">
        <v>0</v>
      </c>
    </row>
    <row r="1012" spans="2:3" hidden="1">
      <c r="B1012" s="3" t="s">
        <v>119</v>
      </c>
      <c r="C1012" s="3">
        <v>0</v>
      </c>
    </row>
    <row r="1013" spans="2:3" hidden="1">
      <c r="B1013" s="3" t="s">
        <v>120</v>
      </c>
      <c r="C1013" s="3">
        <v>0</v>
      </c>
    </row>
    <row r="1014" spans="2:3" hidden="1">
      <c r="B1014" s="3" t="s">
        <v>121</v>
      </c>
      <c r="C1014" s="3">
        <v>0</v>
      </c>
    </row>
    <row r="1015" spans="2:3" hidden="1">
      <c r="B1015" s="3" t="s">
        <v>122</v>
      </c>
      <c r="C1015" s="3">
        <v>0</v>
      </c>
    </row>
    <row r="1016" spans="2:3" hidden="1">
      <c r="B1016" s="3" t="s">
        <v>123</v>
      </c>
      <c r="C1016" s="3">
        <v>0</v>
      </c>
    </row>
    <row r="1017" spans="2:3" hidden="1">
      <c r="B1017" s="3" t="s">
        <v>124</v>
      </c>
      <c r="C1017" s="3">
        <v>0</v>
      </c>
    </row>
    <row r="1018" spans="2:3" hidden="1">
      <c r="B1018" s="3" t="s">
        <v>125</v>
      </c>
      <c r="C1018" s="3">
        <v>0.5</v>
      </c>
    </row>
    <row r="1019" spans="2:3" hidden="1">
      <c r="B1019" s="3" t="s">
        <v>126</v>
      </c>
      <c r="C1019" s="3">
        <v>13.5</v>
      </c>
    </row>
    <row r="1020" spans="2:3" hidden="1">
      <c r="B1020" s="3" t="s">
        <v>127</v>
      </c>
      <c r="C1020" s="3">
        <v>18</v>
      </c>
    </row>
    <row r="1021" spans="2:3" hidden="1">
      <c r="B1021" s="3" t="s">
        <v>128</v>
      </c>
      <c r="C1021" s="3">
        <v>0</v>
      </c>
    </row>
    <row r="1022" spans="2:3" hidden="1">
      <c r="B1022" s="3" t="s">
        <v>129</v>
      </c>
      <c r="C1022" s="3">
        <v>0</v>
      </c>
    </row>
    <row r="1023" spans="2:3" hidden="1">
      <c r="B1023" s="3" t="s">
        <v>130</v>
      </c>
      <c r="C1023" s="3">
        <v>0</v>
      </c>
    </row>
    <row r="1024" spans="2:3" hidden="1">
      <c r="B1024" s="3" t="s">
        <v>131</v>
      </c>
      <c r="C1024" s="3">
        <v>3600</v>
      </c>
    </row>
    <row r="1025" spans="2:3" hidden="1">
      <c r="B1025" s="3" t="s">
        <v>132</v>
      </c>
      <c r="C1025" s="3">
        <v>0</v>
      </c>
    </row>
    <row r="1026" spans="2:3" hidden="1">
      <c r="B1026" s="3" t="s">
        <v>133</v>
      </c>
      <c r="C1026" s="3">
        <v>0</v>
      </c>
    </row>
    <row r="1027" spans="2:3" hidden="1">
      <c r="B1027" s="3" t="s">
        <v>134</v>
      </c>
      <c r="C1027" s="3">
        <v>0</v>
      </c>
    </row>
    <row r="1028" spans="2:3" hidden="1">
      <c r="B1028" s="3" t="s">
        <v>135</v>
      </c>
      <c r="C1028" s="3">
        <v>0</v>
      </c>
    </row>
    <row r="1029" spans="2:3" hidden="1">
      <c r="B1029" s="3" t="s">
        <v>136</v>
      </c>
      <c r="C1029" s="3">
        <v>6</v>
      </c>
    </row>
    <row r="1030" spans="2:3" hidden="1">
      <c r="B1030" s="3" t="s">
        <v>137</v>
      </c>
      <c r="C1030" s="3">
        <v>3.65</v>
      </c>
    </row>
    <row r="1031" spans="2:3" hidden="1">
      <c r="B1031" s="3" t="s">
        <v>138</v>
      </c>
      <c r="C1031" s="3">
        <v>3.38</v>
      </c>
    </row>
    <row r="1032" spans="2:3" hidden="1">
      <c r="B1032" s="3" t="s">
        <v>139</v>
      </c>
      <c r="C1032" s="3">
        <v>0</v>
      </c>
    </row>
    <row r="1033" spans="2:3" hidden="1">
      <c r="B1033" s="3" t="s">
        <v>140</v>
      </c>
      <c r="C1033" s="3">
        <v>0</v>
      </c>
    </row>
    <row r="1034" spans="2:3" hidden="1">
      <c r="B1034" s="3" t="s">
        <v>141</v>
      </c>
      <c r="C1034" s="3">
        <v>0</v>
      </c>
    </row>
    <row r="1035" spans="2:3" hidden="1">
      <c r="B1035" s="3" t="s">
        <v>142</v>
      </c>
      <c r="C1035" s="3">
        <v>0</v>
      </c>
    </row>
    <row r="1036" spans="2:3" hidden="1">
      <c r="B1036" s="3" t="s">
        <v>143</v>
      </c>
      <c r="C1036" s="3">
        <v>0</v>
      </c>
    </row>
    <row r="1037" spans="2:3" hidden="1">
      <c r="B1037" s="3" t="s">
        <v>144</v>
      </c>
      <c r="C1037" s="3">
        <v>0</v>
      </c>
    </row>
    <row r="1038" spans="2:3" hidden="1">
      <c r="B1038" s="3" t="s">
        <v>145</v>
      </c>
      <c r="C1038" s="3">
        <v>0</v>
      </c>
    </row>
    <row r="1039" spans="2:3" hidden="1">
      <c r="B1039" s="3" t="s">
        <v>146</v>
      </c>
      <c r="C1039" s="3">
        <v>0</v>
      </c>
    </row>
    <row r="1040" spans="2:3" hidden="1">
      <c r="B1040" s="3" t="s">
        <v>147</v>
      </c>
      <c r="C1040" s="3">
        <v>0</v>
      </c>
    </row>
    <row r="1041" spans="2:3" hidden="1">
      <c r="B1041" s="3" t="s">
        <v>148</v>
      </c>
      <c r="C1041" s="3">
        <v>5</v>
      </c>
    </row>
    <row r="1042" spans="2:3" hidden="1">
      <c r="B1042" s="3" t="s">
        <v>149</v>
      </c>
      <c r="C1042" s="3">
        <v>0</v>
      </c>
    </row>
    <row r="1043" spans="2:3" hidden="1">
      <c r="B1043" s="3" t="s">
        <v>150</v>
      </c>
      <c r="C1043" s="3">
        <v>0</v>
      </c>
    </row>
    <row r="1044" spans="2:3" hidden="1">
      <c r="B1044" s="3" t="s">
        <v>151</v>
      </c>
      <c r="C1044" s="3">
        <v>0</v>
      </c>
    </row>
    <row r="1045" spans="2:3" hidden="1">
      <c r="B1045" s="3" t="s">
        <v>152</v>
      </c>
      <c r="C1045" s="3">
        <v>6800</v>
      </c>
    </row>
    <row r="1046" spans="2:3" hidden="1">
      <c r="B1046" s="3" t="s">
        <v>153</v>
      </c>
      <c r="C1046" s="3">
        <v>0</v>
      </c>
    </row>
    <row r="1047" spans="2:3" hidden="1">
      <c r="B1047" s="3" t="s">
        <v>154</v>
      </c>
      <c r="C1047" s="3">
        <v>0</v>
      </c>
    </row>
    <row r="1048" spans="2:3" hidden="1">
      <c r="B1048" s="3" t="s">
        <v>155</v>
      </c>
      <c r="C1048" s="3">
        <v>8500</v>
      </c>
    </row>
    <row r="1049" spans="2:3" hidden="1">
      <c r="B1049" s="3" t="s">
        <v>156</v>
      </c>
      <c r="C1049" s="3">
        <v>0</v>
      </c>
    </row>
    <row r="1050" spans="2:3" hidden="1">
      <c r="B1050" s="3" t="s">
        <v>157</v>
      </c>
      <c r="C1050" s="3">
        <v>15000</v>
      </c>
    </row>
    <row r="1051" spans="2:3" hidden="1">
      <c r="B1051" s="3" t="s">
        <v>158</v>
      </c>
      <c r="C1051" s="3">
        <v>3</v>
      </c>
    </row>
    <row r="1052" spans="2:3" hidden="1">
      <c r="B1052" s="3" t="s">
        <v>159</v>
      </c>
      <c r="C1052" s="3">
        <v>0</v>
      </c>
    </row>
    <row r="1053" spans="2:3" hidden="1">
      <c r="B1053" s="3" t="s">
        <v>160</v>
      </c>
      <c r="C1053" s="3">
        <v>0</v>
      </c>
    </row>
    <row r="1054" spans="2:3" hidden="1">
      <c r="B1054" s="3" t="s">
        <v>161</v>
      </c>
      <c r="C1054" s="3">
        <v>0</v>
      </c>
    </row>
    <row r="1055" spans="2:3" hidden="1">
      <c r="B1055" s="3" t="s">
        <v>162</v>
      </c>
      <c r="C1055" s="3">
        <v>0</v>
      </c>
    </row>
    <row r="1056" spans="2:3" hidden="1">
      <c r="B1056" s="3" t="s">
        <v>163</v>
      </c>
      <c r="C1056" s="3">
        <v>0</v>
      </c>
    </row>
    <row r="1057" spans="2:3" hidden="1">
      <c r="B1057" s="3" t="s">
        <v>164</v>
      </c>
      <c r="C1057" s="3">
        <v>0</v>
      </c>
    </row>
    <row r="1058" spans="2:3" hidden="1">
      <c r="B1058" s="3" t="s">
        <v>165</v>
      </c>
      <c r="C1058" s="3">
        <v>0</v>
      </c>
    </row>
    <row r="1059" spans="2:3" hidden="1">
      <c r="B1059" s="3" t="s">
        <v>166</v>
      </c>
      <c r="C1059" s="3">
        <v>0</v>
      </c>
    </row>
    <row r="1060" spans="2:3" hidden="1">
      <c r="B1060" s="3" t="s">
        <v>167</v>
      </c>
      <c r="C1060" s="3">
        <v>0</v>
      </c>
    </row>
    <row r="1061" spans="2:3" hidden="1">
      <c r="B1061" s="3" t="s">
        <v>168</v>
      </c>
      <c r="C1061" s="3">
        <v>0</v>
      </c>
    </row>
    <row r="1062" spans="2:3" hidden="1">
      <c r="B1062" s="3" t="s">
        <v>169</v>
      </c>
      <c r="C1062" s="3">
        <v>0</v>
      </c>
    </row>
    <row r="1063" spans="2:3" hidden="1">
      <c r="B1063" s="3" t="s">
        <v>170</v>
      </c>
      <c r="C1063" s="3">
        <v>0</v>
      </c>
    </row>
    <row r="1064" spans="2:3" hidden="1">
      <c r="B1064" s="3" t="s">
        <v>171</v>
      </c>
      <c r="C1064" s="3">
        <v>0</v>
      </c>
    </row>
    <row r="1065" spans="2:3" hidden="1">
      <c r="B1065" s="3" t="s">
        <v>172</v>
      </c>
      <c r="C1065" s="3">
        <v>0</v>
      </c>
    </row>
    <row r="1066" spans="2:3" hidden="1">
      <c r="B1066" s="3" t="s">
        <v>173</v>
      </c>
      <c r="C1066" s="3">
        <v>0</v>
      </c>
    </row>
    <row r="1067" spans="2:3" hidden="1">
      <c r="B1067" s="3" t="s">
        <v>174</v>
      </c>
      <c r="C1067" s="3">
        <v>0</v>
      </c>
    </row>
    <row r="1068" spans="2:3" hidden="1">
      <c r="B1068" s="3" t="s">
        <v>175</v>
      </c>
      <c r="C1068" s="3">
        <v>0</v>
      </c>
    </row>
    <row r="1069" spans="2:3" hidden="1">
      <c r="B1069" s="3" t="s">
        <v>176</v>
      </c>
      <c r="C1069" s="3">
        <v>0</v>
      </c>
    </row>
    <row r="1070" spans="2:3" hidden="1">
      <c r="B1070" s="3" t="s">
        <v>177</v>
      </c>
      <c r="C1070" s="3">
        <v>0</v>
      </c>
    </row>
    <row r="1071" spans="2:3" hidden="1">
      <c r="B1071" s="3" t="s">
        <v>178</v>
      </c>
      <c r="C1071" s="3">
        <v>0</v>
      </c>
    </row>
    <row r="1072" spans="2:3" hidden="1">
      <c r="B1072" s="3" t="s">
        <v>179</v>
      </c>
      <c r="C1072" s="3">
        <v>0</v>
      </c>
    </row>
    <row r="1073" spans="2:3" hidden="1">
      <c r="B1073" s="3" t="s">
        <v>180</v>
      </c>
      <c r="C1073" s="3">
        <v>0</v>
      </c>
    </row>
    <row r="1074" spans="2:3" hidden="1">
      <c r="B1074" s="3" t="s">
        <v>181</v>
      </c>
      <c r="C1074" s="3">
        <v>0</v>
      </c>
    </row>
    <row r="1075" spans="2:3" hidden="1">
      <c r="B1075" s="3" t="s">
        <v>182</v>
      </c>
      <c r="C1075" s="3">
        <v>0</v>
      </c>
    </row>
    <row r="1076" spans="2:3" hidden="1">
      <c r="B1076" s="3" t="s">
        <v>183</v>
      </c>
      <c r="C1076" s="3">
        <v>0</v>
      </c>
    </row>
    <row r="1077" spans="2:3" hidden="1">
      <c r="B1077" s="3" t="s">
        <v>184</v>
      </c>
      <c r="C1077" s="3">
        <v>0</v>
      </c>
    </row>
    <row r="1078" spans="2:3" hidden="1">
      <c r="B1078" s="3" t="s">
        <v>185</v>
      </c>
      <c r="C1078" s="3">
        <v>0</v>
      </c>
    </row>
    <row r="1079" spans="2:3" hidden="1">
      <c r="B1079" s="3" t="s">
        <v>186</v>
      </c>
      <c r="C1079" s="3">
        <v>0</v>
      </c>
    </row>
    <row r="1080" spans="2:3" hidden="1">
      <c r="B1080" s="3" t="s">
        <v>187</v>
      </c>
      <c r="C1080" s="3">
        <v>0</v>
      </c>
    </row>
    <row r="1081" spans="2:3" hidden="1">
      <c r="B1081" s="3" t="s">
        <v>188</v>
      </c>
      <c r="C1081" s="3">
        <v>0</v>
      </c>
    </row>
    <row r="1082" spans="2:3" hidden="1">
      <c r="B1082" s="3" t="s">
        <v>189</v>
      </c>
      <c r="C1082" s="3">
        <v>0</v>
      </c>
    </row>
    <row r="1083" spans="2:3" hidden="1">
      <c r="B1083" s="3" t="s">
        <v>190</v>
      </c>
      <c r="C1083" s="3">
        <v>0</v>
      </c>
    </row>
    <row r="1084" spans="2:3" hidden="1">
      <c r="B1084" s="3" t="s">
        <v>191</v>
      </c>
      <c r="C1084" s="3" t="s">
        <v>192</v>
      </c>
    </row>
    <row r="1085" spans="2:3" hidden="1">
      <c r="B1085" s="3" t="s">
        <v>193</v>
      </c>
      <c r="C1085" s="3" t="s">
        <v>194</v>
      </c>
    </row>
    <row r="1086" spans="2:3" hidden="1">
      <c r="B1086" s="3" t="s">
        <v>195</v>
      </c>
      <c r="C1086" s="3" t="s">
        <v>196</v>
      </c>
    </row>
    <row r="1087" spans="2:3" hidden="1">
      <c r="B1087" s="3" t="s">
        <v>197</v>
      </c>
      <c r="C1087" s="3" t="s">
        <v>198</v>
      </c>
    </row>
    <row r="1088" spans="2:3" hidden="1">
      <c r="B1088" s="3" t="s">
        <v>199</v>
      </c>
      <c r="C1088" s="3" t="s">
        <v>200</v>
      </c>
    </row>
    <row r="1089" spans="2:3" hidden="1">
      <c r="B1089" s="3" t="s">
        <v>201</v>
      </c>
      <c r="C1089" s="3" t="s">
        <v>202</v>
      </c>
    </row>
    <row r="1090" spans="2:3" hidden="1">
      <c r="B1090" s="3" t="s">
        <v>203</v>
      </c>
      <c r="C1090" s="3" t="s">
        <v>204</v>
      </c>
    </row>
    <row r="1091" spans="2:3" hidden="1">
      <c r="B1091" s="3" t="s">
        <v>205</v>
      </c>
      <c r="C1091" s="3" t="s">
        <v>206</v>
      </c>
    </row>
    <row r="1092" spans="2:3" hidden="1">
      <c r="B1092" s="3" t="s">
        <v>207</v>
      </c>
      <c r="C1092" s="3" t="s">
        <v>208</v>
      </c>
    </row>
    <row r="1093" spans="2:3" hidden="1">
      <c r="B1093" s="3" t="s">
        <v>209</v>
      </c>
      <c r="C1093" s="3" t="s">
        <v>210</v>
      </c>
    </row>
    <row r="1094" spans="2:3" hidden="1">
      <c r="B1094" s="3" t="s">
        <v>211</v>
      </c>
      <c r="C1094" s="3" t="s">
        <v>212</v>
      </c>
    </row>
    <row r="1095" spans="2:3" hidden="1">
      <c r="B1095" s="3" t="s">
        <v>213</v>
      </c>
      <c r="C1095" s="3" t="s">
        <v>214</v>
      </c>
    </row>
    <row r="1096" spans="2:3" hidden="1">
      <c r="B1096" s="3" t="s">
        <v>215</v>
      </c>
      <c r="C1096" s="3" t="s">
        <v>212</v>
      </c>
    </row>
    <row r="1097" spans="2:3" hidden="1">
      <c r="B1097" s="3" t="s">
        <v>216</v>
      </c>
      <c r="C1097" s="3" t="s">
        <v>204</v>
      </c>
    </row>
    <row r="1098" spans="2:3" hidden="1">
      <c r="B1098" s="3" t="s">
        <v>217</v>
      </c>
      <c r="C1098" s="3" t="s">
        <v>192</v>
      </c>
    </row>
    <row r="1099" spans="2:3" hidden="1">
      <c r="B1099" s="3" t="s">
        <v>218</v>
      </c>
      <c r="C1099" s="3" t="s">
        <v>212</v>
      </c>
    </row>
    <row r="1100" spans="2:3" hidden="1">
      <c r="B1100" s="3" t="s">
        <v>219</v>
      </c>
      <c r="C1100" s="3" t="s">
        <v>212</v>
      </c>
    </row>
    <row r="1101" spans="2:3" hidden="1">
      <c r="B1101" s="3" t="s">
        <v>220</v>
      </c>
      <c r="C1101" s="3" t="s">
        <v>200</v>
      </c>
    </row>
    <row r="1102" spans="2:3" hidden="1">
      <c r="B1102" s="3" t="s">
        <v>221</v>
      </c>
      <c r="C1102" s="3" t="s">
        <v>222</v>
      </c>
    </row>
    <row r="1103" spans="2:3" hidden="1">
      <c r="B1103" s="3" t="s">
        <v>223</v>
      </c>
      <c r="C1103" s="3" t="s">
        <v>196</v>
      </c>
    </row>
    <row r="1104" spans="2:3" hidden="1">
      <c r="B1104" s="3" t="s">
        <v>224</v>
      </c>
      <c r="C1104" s="3" t="s">
        <v>222</v>
      </c>
    </row>
    <row r="1105" spans="2:3" hidden="1">
      <c r="B1105" s="3" t="s">
        <v>225</v>
      </c>
      <c r="C1105" s="3" t="s">
        <v>226</v>
      </c>
    </row>
    <row r="1106" spans="2:3" hidden="1">
      <c r="B1106" s="3" t="s">
        <v>227</v>
      </c>
      <c r="C1106" s="3" t="s">
        <v>228</v>
      </c>
    </row>
    <row r="1107" spans="2:3" hidden="1">
      <c r="B1107" s="3" t="s">
        <v>229</v>
      </c>
      <c r="C1107" s="3" t="s">
        <v>230</v>
      </c>
    </row>
    <row r="1108" spans="2:3" hidden="1">
      <c r="B1108" s="3" t="s">
        <v>231</v>
      </c>
      <c r="C1108" s="3" t="s">
        <v>192</v>
      </c>
    </row>
    <row r="1109" spans="2:3" hidden="1">
      <c r="B1109" s="3" t="s">
        <v>232</v>
      </c>
      <c r="C1109" s="3" t="s">
        <v>200</v>
      </c>
    </row>
    <row r="1110" spans="2:3" hidden="1">
      <c r="B1110" s="3" t="s">
        <v>233</v>
      </c>
      <c r="C1110" s="3" t="s">
        <v>234</v>
      </c>
    </row>
    <row r="1111" spans="2:3" hidden="1">
      <c r="B1111" s="3" t="s">
        <v>235</v>
      </c>
      <c r="C1111" s="3" t="s">
        <v>236</v>
      </c>
    </row>
    <row r="1112" spans="2:3" hidden="1">
      <c r="B1112" s="3" t="s">
        <v>237</v>
      </c>
      <c r="C1112" s="3">
        <v>0</v>
      </c>
    </row>
    <row r="1113" spans="2:3" hidden="1">
      <c r="B1113" s="3" t="s">
        <v>238</v>
      </c>
      <c r="C1113" s="3">
        <v>0</v>
      </c>
    </row>
    <row r="1114" spans="2:3" hidden="1">
      <c r="B1114" s="3" t="s">
        <v>239</v>
      </c>
      <c r="C1114" s="3">
        <v>0</v>
      </c>
    </row>
    <row r="1115" spans="2:3" hidden="1">
      <c r="B1115" s="3" t="s">
        <v>240</v>
      </c>
      <c r="C1115" s="3">
        <v>0</v>
      </c>
    </row>
    <row r="1116" spans="2:3" hidden="1">
      <c r="B1116" s="3" t="s">
        <v>242</v>
      </c>
      <c r="C1116" s="3">
        <v>0</v>
      </c>
    </row>
    <row r="1117" spans="2:3" hidden="1">
      <c r="B1117" s="3" t="s">
        <v>243</v>
      </c>
      <c r="C1117" s="3">
        <v>0</v>
      </c>
    </row>
    <row r="1118" spans="2:3" hidden="1">
      <c r="B1118" s="3" t="s">
        <v>244</v>
      </c>
      <c r="C1118" s="3">
        <v>0</v>
      </c>
    </row>
    <row r="1119" spans="2:3" hidden="1">
      <c r="B1119" s="3" t="s">
        <v>245</v>
      </c>
      <c r="C1119" s="3">
        <v>0</v>
      </c>
    </row>
    <row r="1120" spans="2:3" hidden="1">
      <c r="B1120" s="3" t="s">
        <v>246</v>
      </c>
      <c r="C1120" s="3">
        <v>0</v>
      </c>
    </row>
    <row r="1121" spans="2:3" hidden="1">
      <c r="B1121" s="3" t="s">
        <v>247</v>
      </c>
      <c r="C1121" s="3">
        <v>0</v>
      </c>
    </row>
    <row r="1122" spans="2:3" hidden="1">
      <c r="B1122" s="3" t="s">
        <v>248</v>
      </c>
      <c r="C1122" s="3">
        <v>0</v>
      </c>
    </row>
    <row r="1123" spans="2:3" hidden="1">
      <c r="B1123" s="3" t="s">
        <v>249</v>
      </c>
      <c r="C1123" s="3" t="s">
        <v>250</v>
      </c>
    </row>
    <row r="1124" spans="2:3" hidden="1">
      <c r="B1124" s="3" t="s">
        <v>251</v>
      </c>
      <c r="C1124" s="3">
        <v>0</v>
      </c>
    </row>
    <row r="1125" spans="2:3" hidden="1">
      <c r="B1125" s="3" t="s">
        <v>252</v>
      </c>
      <c r="C1125" s="3">
        <v>0</v>
      </c>
    </row>
    <row r="1126" spans="2:3" hidden="1">
      <c r="B1126" s="3" t="s">
        <v>253</v>
      </c>
      <c r="C1126" s="3">
        <v>0</v>
      </c>
    </row>
    <row r="1127" spans="2:3" hidden="1">
      <c r="B1127" s="3" t="s">
        <v>254</v>
      </c>
      <c r="C1127" s="3">
        <v>0</v>
      </c>
    </row>
    <row r="1128" spans="2:3" hidden="1">
      <c r="B1128" s="3" t="s">
        <v>255</v>
      </c>
      <c r="C1128" s="3">
        <v>0</v>
      </c>
    </row>
    <row r="1129" spans="2:3" hidden="1">
      <c r="B1129" s="3" t="s">
        <v>256</v>
      </c>
      <c r="C1129" s="3">
        <v>0</v>
      </c>
    </row>
    <row r="1130" spans="2:3" hidden="1">
      <c r="B1130" s="3" t="s">
        <v>257</v>
      </c>
      <c r="C1130" s="3">
        <v>0</v>
      </c>
    </row>
    <row r="1131" spans="2:3" hidden="1">
      <c r="B1131" s="3" t="s">
        <v>258</v>
      </c>
      <c r="C1131" s="3" t="s">
        <v>259</v>
      </c>
    </row>
    <row r="1132" spans="2:3" hidden="1">
      <c r="B1132" s="3" t="s">
        <v>260</v>
      </c>
      <c r="C1132" s="3">
        <v>0</v>
      </c>
    </row>
    <row r="1133" spans="2:3" hidden="1">
      <c r="B1133" s="3" t="s">
        <v>261</v>
      </c>
      <c r="C1133" s="3">
        <v>0</v>
      </c>
    </row>
    <row r="1134" spans="2:3" hidden="1">
      <c r="B1134" s="3" t="s">
        <v>262</v>
      </c>
      <c r="C1134" s="3">
        <v>0</v>
      </c>
    </row>
    <row r="1135" spans="2:3" hidden="1">
      <c r="B1135" s="3" t="s">
        <v>263</v>
      </c>
      <c r="C1135" s="3">
        <v>0</v>
      </c>
    </row>
    <row r="1136" spans="2:3" hidden="1">
      <c r="B1136" s="3" t="s">
        <v>264</v>
      </c>
      <c r="C1136" s="3">
        <v>0</v>
      </c>
    </row>
    <row r="1137" spans="2:3" hidden="1">
      <c r="B1137" s="3" t="s">
        <v>265</v>
      </c>
      <c r="C1137" s="3">
        <v>0</v>
      </c>
    </row>
    <row r="1138" spans="2:3" hidden="1">
      <c r="B1138" s="3" t="s">
        <v>266</v>
      </c>
      <c r="C1138" s="3">
        <v>0</v>
      </c>
    </row>
    <row r="1139" spans="2:3" hidden="1">
      <c r="B1139" s="3" t="s">
        <v>267</v>
      </c>
      <c r="C1139" s="3">
        <v>0</v>
      </c>
    </row>
    <row r="1140" spans="2:3" hidden="1">
      <c r="B1140" s="3" t="s">
        <v>268</v>
      </c>
      <c r="C1140" s="3">
        <v>0</v>
      </c>
    </row>
    <row r="1141" spans="2:3" hidden="1">
      <c r="B1141" s="3" t="s">
        <v>269</v>
      </c>
      <c r="C1141" s="3">
        <v>0</v>
      </c>
    </row>
    <row r="1142" spans="2:3" hidden="1">
      <c r="B1142" s="3" t="s">
        <v>270</v>
      </c>
      <c r="C1142" s="3">
        <v>0</v>
      </c>
    </row>
    <row r="1143" spans="2:3" hidden="1">
      <c r="B1143" s="3" t="s">
        <v>271</v>
      </c>
      <c r="C1143" s="3">
        <v>0</v>
      </c>
    </row>
    <row r="1144" spans="2:3" hidden="1">
      <c r="B1144" s="3" t="s">
        <v>272</v>
      </c>
      <c r="C1144" s="3">
        <v>0</v>
      </c>
    </row>
    <row r="1145" spans="2:3" hidden="1">
      <c r="B1145" s="3" t="s">
        <v>273</v>
      </c>
      <c r="C1145" s="3">
        <v>0</v>
      </c>
    </row>
    <row r="1146" spans="2:3" hidden="1">
      <c r="B1146" s="3" t="s">
        <v>274</v>
      </c>
      <c r="C1146" s="3">
        <v>0</v>
      </c>
    </row>
    <row r="1147" spans="2:3" hidden="1">
      <c r="B1147" s="3" t="s">
        <v>275</v>
      </c>
      <c r="C1147" s="3">
        <v>0</v>
      </c>
    </row>
    <row r="1148" spans="2:3" hidden="1">
      <c r="B1148" s="3" t="s">
        <v>276</v>
      </c>
      <c r="C1148" s="3">
        <v>0</v>
      </c>
    </row>
    <row r="1149" spans="2:3" hidden="1">
      <c r="B1149" s="3" t="s">
        <v>277</v>
      </c>
      <c r="C1149" s="3" t="s">
        <v>241</v>
      </c>
    </row>
    <row r="1150" spans="2:3" hidden="1">
      <c r="B1150" s="3" t="s">
        <v>278</v>
      </c>
      <c r="C1150" s="3">
        <v>0</v>
      </c>
    </row>
    <row r="1151" spans="2:3" hidden="1">
      <c r="B1151" s="3" t="s">
        <v>279</v>
      </c>
      <c r="C1151" s="3">
        <v>0</v>
      </c>
    </row>
    <row r="1152" spans="2:3" hidden="1">
      <c r="B1152" s="3" t="s">
        <v>280</v>
      </c>
      <c r="C1152" s="3">
        <v>0</v>
      </c>
    </row>
    <row r="1153" spans="2:3" hidden="1">
      <c r="B1153" s="3" t="s">
        <v>281</v>
      </c>
      <c r="C1153" s="3">
        <v>0</v>
      </c>
    </row>
    <row r="1154" spans="2:3" hidden="1">
      <c r="B1154" s="3" t="s">
        <v>282</v>
      </c>
      <c r="C1154" s="3">
        <v>0</v>
      </c>
    </row>
    <row r="1155" spans="2:3" hidden="1">
      <c r="B1155" s="3" t="s">
        <v>283</v>
      </c>
      <c r="C1155" s="3">
        <v>0</v>
      </c>
    </row>
    <row r="1156" spans="2:3" hidden="1">
      <c r="B1156" s="3" t="s">
        <v>284</v>
      </c>
      <c r="C1156" s="3">
        <v>0</v>
      </c>
    </row>
    <row r="1157" spans="2:3" hidden="1">
      <c r="B1157" s="3" t="s">
        <v>285</v>
      </c>
      <c r="C1157" s="3">
        <v>0</v>
      </c>
    </row>
    <row r="1158" spans="2:3" hidden="1">
      <c r="B1158" s="3" t="s">
        <v>286</v>
      </c>
      <c r="C1158" s="3">
        <v>0</v>
      </c>
    </row>
    <row r="1159" spans="2:3" hidden="1">
      <c r="B1159" s="3" t="s">
        <v>287</v>
      </c>
      <c r="C1159" s="3">
        <v>0</v>
      </c>
    </row>
    <row r="1160" spans="2:3" hidden="1">
      <c r="B1160" s="3" t="s">
        <v>288</v>
      </c>
      <c r="C1160" s="3">
        <v>0</v>
      </c>
    </row>
    <row r="1161" spans="2:3" hidden="1">
      <c r="B1161" s="3" t="s">
        <v>289</v>
      </c>
      <c r="C1161" s="3">
        <v>1</v>
      </c>
    </row>
    <row r="1162" spans="2:3" hidden="1">
      <c r="B1162" s="3" t="s">
        <v>290</v>
      </c>
      <c r="C1162" s="3">
        <v>0</v>
      </c>
    </row>
    <row r="1163" spans="2:3" hidden="1">
      <c r="B1163" s="3" t="s">
        <v>291</v>
      </c>
      <c r="C1163" s="3">
        <v>0</v>
      </c>
    </row>
    <row r="1164" spans="2:3" hidden="1">
      <c r="B1164" s="3" t="s">
        <v>292</v>
      </c>
      <c r="C1164" s="3">
        <v>0</v>
      </c>
    </row>
    <row r="1165" spans="2:3" hidden="1">
      <c r="B1165" s="3" t="s">
        <v>293</v>
      </c>
      <c r="C1165" s="3">
        <v>0</v>
      </c>
    </row>
    <row r="1166" spans="2:3" hidden="1">
      <c r="B1166" s="3" t="s">
        <v>294</v>
      </c>
      <c r="C1166" s="3">
        <v>0</v>
      </c>
    </row>
    <row r="1167" spans="2:3" hidden="1">
      <c r="B1167" s="3" t="s">
        <v>295</v>
      </c>
      <c r="C1167" s="3">
        <v>0</v>
      </c>
    </row>
    <row r="1168" spans="2:3" hidden="1">
      <c r="B1168" s="3" t="s">
        <v>296</v>
      </c>
      <c r="C1168" s="3">
        <v>0</v>
      </c>
    </row>
    <row r="1169" spans="2:3" hidden="1">
      <c r="B1169" s="3" t="s">
        <v>297</v>
      </c>
      <c r="C1169" s="3">
        <v>1</v>
      </c>
    </row>
    <row r="1170" spans="2:3" hidden="1">
      <c r="B1170" s="3" t="s">
        <v>298</v>
      </c>
      <c r="C1170" s="3">
        <v>0</v>
      </c>
    </row>
    <row r="1171" spans="2:3" hidden="1">
      <c r="B1171" s="3" t="s">
        <v>299</v>
      </c>
      <c r="C1171" s="3">
        <v>0</v>
      </c>
    </row>
    <row r="1172" spans="2:3" hidden="1">
      <c r="B1172" s="3" t="s">
        <v>300</v>
      </c>
      <c r="C1172" s="3">
        <v>0</v>
      </c>
    </row>
    <row r="1173" spans="2:3" hidden="1">
      <c r="B1173" s="3" t="s">
        <v>301</v>
      </c>
      <c r="C1173" s="3">
        <v>0</v>
      </c>
    </row>
    <row r="1174" spans="2:3" hidden="1">
      <c r="B1174" s="3" t="s">
        <v>302</v>
      </c>
      <c r="C1174" s="3">
        <v>0</v>
      </c>
    </row>
    <row r="1175" spans="2:3" hidden="1">
      <c r="B1175" s="3" t="s">
        <v>303</v>
      </c>
      <c r="C1175" s="3">
        <v>0</v>
      </c>
    </row>
    <row r="1176" spans="2:3" hidden="1">
      <c r="B1176" s="3" t="s">
        <v>304</v>
      </c>
      <c r="C1176" s="3">
        <v>0</v>
      </c>
    </row>
    <row r="1177" spans="2:3" hidden="1">
      <c r="B1177" s="3" t="s">
        <v>305</v>
      </c>
      <c r="C1177" s="3">
        <v>0</v>
      </c>
    </row>
    <row r="1178" spans="2:3" hidden="1">
      <c r="B1178" s="3" t="s">
        <v>306</v>
      </c>
      <c r="C1178" s="3">
        <v>0</v>
      </c>
    </row>
    <row r="1179" spans="2:3" hidden="1">
      <c r="B1179" s="3" t="s">
        <v>307</v>
      </c>
      <c r="C1179" s="3">
        <v>0</v>
      </c>
    </row>
    <row r="1180" spans="2:3" hidden="1">
      <c r="B1180" s="3" t="s">
        <v>308</v>
      </c>
      <c r="C1180" s="3">
        <v>0</v>
      </c>
    </row>
    <row r="1181" spans="2:3" hidden="1">
      <c r="B1181" s="3" t="s">
        <v>309</v>
      </c>
      <c r="C1181" s="3">
        <v>0</v>
      </c>
    </row>
    <row r="1182" spans="2:3" hidden="1">
      <c r="B1182" s="3" t="s">
        <v>310</v>
      </c>
      <c r="C1182" s="3">
        <v>0</v>
      </c>
    </row>
    <row r="1183" spans="2:3" hidden="1">
      <c r="B1183" s="3" t="s">
        <v>311</v>
      </c>
      <c r="C1183" s="3">
        <v>0</v>
      </c>
    </row>
    <row r="1184" spans="2:3" hidden="1">
      <c r="B1184" s="3" t="s">
        <v>312</v>
      </c>
      <c r="C1184" s="3">
        <v>0</v>
      </c>
    </row>
    <row r="1185" spans="2:3" hidden="1">
      <c r="B1185" s="3" t="s">
        <v>313</v>
      </c>
      <c r="C1185" s="3">
        <v>0</v>
      </c>
    </row>
    <row r="1186" spans="2:3" hidden="1">
      <c r="B1186" s="3" t="s">
        <v>314</v>
      </c>
      <c r="C1186" s="3">
        <v>0</v>
      </c>
    </row>
    <row r="1187" spans="2:3" hidden="1">
      <c r="B1187" s="3" t="s">
        <v>315</v>
      </c>
      <c r="C1187" s="3">
        <v>0</v>
      </c>
    </row>
    <row r="1188" spans="2:3" hidden="1">
      <c r="B1188" s="3" t="s">
        <v>316</v>
      </c>
      <c r="C1188" s="3">
        <v>1</v>
      </c>
    </row>
    <row r="1189" spans="2:3" hidden="1">
      <c r="B1189" s="3" t="s">
        <v>317</v>
      </c>
      <c r="C1189" s="3">
        <v>0</v>
      </c>
    </row>
    <row r="1190" spans="2:3" hidden="1">
      <c r="B1190" s="3" t="s">
        <v>318</v>
      </c>
      <c r="C1190" s="3">
        <v>0</v>
      </c>
    </row>
    <row r="1191" spans="2:3" hidden="1">
      <c r="B1191" s="3" t="s">
        <v>319</v>
      </c>
      <c r="C1191" s="3">
        <v>0</v>
      </c>
    </row>
    <row r="1192" spans="2:3" hidden="1">
      <c r="B1192" s="3" t="s">
        <v>320</v>
      </c>
      <c r="C1192" s="3">
        <v>0</v>
      </c>
    </row>
    <row r="1193" spans="2:3" hidden="1">
      <c r="B1193" s="3" t="s">
        <v>321</v>
      </c>
      <c r="C1193" s="3">
        <v>0</v>
      </c>
    </row>
    <row r="1194" spans="2:3" hidden="1">
      <c r="B1194" s="3" t="s">
        <v>322</v>
      </c>
      <c r="C1194" s="3">
        <v>0</v>
      </c>
    </row>
    <row r="1195" spans="2:3" hidden="1">
      <c r="B1195" s="3" t="s">
        <v>323</v>
      </c>
      <c r="C1195" s="3">
        <v>0</v>
      </c>
    </row>
    <row r="1196" spans="2:3" hidden="1">
      <c r="B1196" s="3" t="s">
        <v>324</v>
      </c>
      <c r="C1196" s="3">
        <v>0</v>
      </c>
    </row>
    <row r="1197" spans="2:3" hidden="1">
      <c r="B1197" s="3" t="s">
        <v>325</v>
      </c>
      <c r="C1197" s="3">
        <v>0</v>
      </c>
    </row>
    <row r="1198" spans="2:3" hidden="1">
      <c r="B1198" s="3" t="s">
        <v>326</v>
      </c>
      <c r="C1198" s="3">
        <v>0</v>
      </c>
    </row>
    <row r="1199" spans="2:3" hidden="1">
      <c r="B1199" s="3" t="s">
        <v>327</v>
      </c>
      <c r="C1199" s="3">
        <v>0</v>
      </c>
    </row>
    <row r="1200" spans="2:3" hidden="1">
      <c r="B1200" s="3" t="s">
        <v>328</v>
      </c>
      <c r="C1200" s="3">
        <v>0</v>
      </c>
    </row>
    <row r="1201" spans="2:3" hidden="1">
      <c r="B1201" s="3" t="s">
        <v>329</v>
      </c>
      <c r="C1201" s="3">
        <v>0</v>
      </c>
    </row>
    <row r="1202" spans="2:3" hidden="1">
      <c r="B1202" s="3" t="s">
        <v>330</v>
      </c>
      <c r="C1202" s="3">
        <v>0</v>
      </c>
    </row>
    <row r="1203" spans="2:3" hidden="1">
      <c r="B1203" s="3" t="s">
        <v>331</v>
      </c>
      <c r="C1203" s="3">
        <v>0</v>
      </c>
    </row>
    <row r="1204" spans="2:3" hidden="1">
      <c r="B1204" s="3" t="s">
        <v>332</v>
      </c>
      <c r="C1204" s="3">
        <v>0</v>
      </c>
    </row>
    <row r="1205" spans="2:3" hidden="1">
      <c r="B1205" s="3" t="s">
        <v>333</v>
      </c>
      <c r="C1205" s="3">
        <v>0</v>
      </c>
    </row>
    <row r="1206" spans="2:3" hidden="1">
      <c r="B1206" s="3" t="s">
        <v>334</v>
      </c>
      <c r="C1206" s="3">
        <v>0</v>
      </c>
    </row>
    <row r="1207" spans="2:3" hidden="1">
      <c r="B1207" s="3" t="s">
        <v>335</v>
      </c>
      <c r="C1207" s="3">
        <v>0</v>
      </c>
    </row>
    <row r="1208" spans="2:3" hidden="1">
      <c r="B1208" s="3" t="s">
        <v>336</v>
      </c>
      <c r="C1208" s="3">
        <v>0</v>
      </c>
    </row>
    <row r="1209" spans="2:3" hidden="1">
      <c r="B1209" s="3" t="s">
        <v>337</v>
      </c>
      <c r="C1209" s="3">
        <v>0</v>
      </c>
    </row>
    <row r="1210" spans="2:3" hidden="1">
      <c r="B1210" s="3" t="s">
        <v>338</v>
      </c>
      <c r="C1210" s="3">
        <v>0</v>
      </c>
    </row>
    <row r="1211" spans="2:3" hidden="1">
      <c r="B1211" s="3" t="s">
        <v>339</v>
      </c>
      <c r="C1211" s="3">
        <v>0</v>
      </c>
    </row>
    <row r="1212" spans="2:3" hidden="1">
      <c r="B1212" s="3" t="s">
        <v>340</v>
      </c>
      <c r="C1212" s="3">
        <v>0</v>
      </c>
    </row>
    <row r="1213" spans="2:3" hidden="1">
      <c r="B1213" s="3" t="s">
        <v>341</v>
      </c>
      <c r="C1213" s="3">
        <v>0</v>
      </c>
    </row>
    <row r="1214" spans="2:3" hidden="1">
      <c r="B1214" s="3" t="s">
        <v>342</v>
      </c>
      <c r="C1214" s="3">
        <v>0</v>
      </c>
    </row>
    <row r="1215" spans="2:3" hidden="1">
      <c r="B1215" s="3" t="s">
        <v>343</v>
      </c>
      <c r="C1215" s="3">
        <v>0</v>
      </c>
    </row>
    <row r="1216" spans="2:3" hidden="1">
      <c r="B1216" s="3" t="s">
        <v>344</v>
      </c>
      <c r="C1216" s="3">
        <v>0</v>
      </c>
    </row>
    <row r="1217" spans="2:3" hidden="1">
      <c r="B1217" s="3" t="s">
        <v>345</v>
      </c>
      <c r="C1217" s="3">
        <v>0</v>
      </c>
    </row>
    <row r="1218" spans="2:3" hidden="1">
      <c r="B1218" s="3" t="s">
        <v>346</v>
      </c>
      <c r="C1218" s="3">
        <v>0</v>
      </c>
    </row>
    <row r="1219" spans="2:3" hidden="1">
      <c r="B1219" s="3" t="s">
        <v>347</v>
      </c>
      <c r="C1219" s="3">
        <v>0</v>
      </c>
    </row>
    <row r="1220" spans="2:3" hidden="1">
      <c r="B1220" s="3" t="s">
        <v>348</v>
      </c>
      <c r="C1220" s="3">
        <v>0</v>
      </c>
    </row>
    <row r="1221" spans="2:3" hidden="1">
      <c r="B1221" s="3" t="s">
        <v>349</v>
      </c>
      <c r="C1221" s="3">
        <v>0</v>
      </c>
    </row>
    <row r="1222" spans="2:3" hidden="1">
      <c r="B1222" s="3" t="s">
        <v>350</v>
      </c>
      <c r="C1222" s="3">
        <v>0</v>
      </c>
    </row>
    <row r="1223" spans="2:3" hidden="1">
      <c r="B1223" s="3" t="s">
        <v>351</v>
      </c>
      <c r="C1223" s="3">
        <v>0</v>
      </c>
    </row>
    <row r="1224" spans="2:3" hidden="1">
      <c r="B1224" s="3" t="s">
        <v>352</v>
      </c>
      <c r="C1224" s="3">
        <v>0</v>
      </c>
    </row>
    <row r="1225" spans="2:3" hidden="1">
      <c r="B1225" s="3" t="s">
        <v>353</v>
      </c>
      <c r="C1225" s="3">
        <v>0</v>
      </c>
    </row>
    <row r="1226" spans="2:3" hidden="1">
      <c r="B1226" s="3" t="s">
        <v>354</v>
      </c>
      <c r="C1226" s="3">
        <v>0</v>
      </c>
    </row>
    <row r="1227" spans="2:3" hidden="1">
      <c r="B1227" s="3" t="s">
        <v>355</v>
      </c>
      <c r="C1227" s="3">
        <v>0</v>
      </c>
    </row>
    <row r="1228" spans="2:3" hidden="1">
      <c r="B1228" s="3" t="s">
        <v>356</v>
      </c>
      <c r="C1228" s="3">
        <v>0</v>
      </c>
    </row>
    <row r="1229" spans="2:3" hidden="1">
      <c r="B1229" s="3" t="s">
        <v>357</v>
      </c>
      <c r="C1229" s="3">
        <v>0</v>
      </c>
    </row>
  </sheetData>
  <sheetProtection sheet="1" objects="1" scenarios="1"/>
  <protectedRanges>
    <protectedRange sqref="D3 D5:E6 C6 F7:F8 D12:E12 D14:D16 F17 D18 D20:E23 D24 D25:E25 F26:F27 D32 F33 D38 F40 B54:B57 E54:F57 B63:D73" name="Grey cells"/>
  </protectedRanges>
  <mergeCells count="10">
    <mergeCell ref="B2:F2"/>
    <mergeCell ref="I4:P4"/>
    <mergeCell ref="H5:H12"/>
    <mergeCell ref="B52:F52"/>
    <mergeCell ref="B59:I59"/>
    <mergeCell ref="B60:B61"/>
    <mergeCell ref="C60:C61"/>
    <mergeCell ref="E60:E61"/>
    <mergeCell ref="F60:F61"/>
    <mergeCell ref="I60:I61"/>
  </mergeCells>
  <conditionalFormatting sqref="B72:C72">
    <cfRule type="expression" dxfId="5" priority="7" stopIfTrue="1">
      <formula>MID($B72,1,4)="Rent"</formula>
    </cfRule>
  </conditionalFormatting>
  <conditionalFormatting sqref="C31:D32">
    <cfRule type="expression" dxfId="4" priority="3">
      <formula>#REF!="yes"</formula>
    </cfRule>
  </conditionalFormatting>
  <conditionalFormatting sqref="D4">
    <cfRule type="expression" dxfId="3" priority="6">
      <formula>$F$1="no"</formula>
    </cfRule>
  </conditionalFormatting>
  <conditionalFormatting sqref="D11">
    <cfRule type="expression" dxfId="2" priority="5">
      <formula>#REF!="no"</formula>
    </cfRule>
  </conditionalFormatting>
  <conditionalFormatting sqref="D33 C34:E34">
    <cfRule type="expression" dxfId="1" priority="8">
      <formula>#REF!="yes"</formula>
    </cfRule>
  </conditionalFormatting>
  <conditionalFormatting sqref="D12:E30">
    <cfRule type="expression" dxfId="0" priority="1">
      <formula>#REF!="yes"</formula>
    </cfRule>
  </conditionalFormatting>
  <dataValidations count="1">
    <dataValidation type="list" allowBlank="1" showInputMessage="1" showErrorMessage="1" sqref="F1" xr:uid="{C50A1367-E617-40DF-9E82-AF27992899A8}">
      <formula1>"Yes, No"</formula1>
    </dataValidation>
  </dataValidations>
  <pageMargins left="0.7" right="0.7" top="0.75" bottom="0.75" header="0.3" footer="0.3"/>
  <pageSetup scale="67" orientation="portrait"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E00B9F67-BB53-4FCB-AB24-CCDA9370B4D7}">
          <x14:formula1>
            <xm:f>'Irrigation costs'!$D$2:$G$2</xm:f>
          </x14:formula1>
          <xm:sqref>D3</xm:sqref>
        </x14:dataValidation>
        <x14:dataValidation type="list" allowBlank="1" showInputMessage="1" showErrorMessage="1" xr:uid="{A6C1485E-D49A-484D-9FC5-0E13438E4457}">
          <x14:formula1>
            <xm:f>'Machinery Input Tables'!$AH$6:$AH$32</xm:f>
          </x14:formula1>
          <xm:sqref>C63:C73</xm:sqref>
        </x14:dataValidation>
        <x14:dataValidation type="list" allowBlank="1" showInputMessage="1" showErrorMessage="1" xr:uid="{7AAF7B0B-BD93-415E-B806-0DA12E1B76B6}">
          <x14:formula1>
            <xm:f>'Machinery Input Tables'!$B$6:$B$121</xm:f>
          </x14:formula1>
          <xm:sqref>B63:B73</xm:sqref>
        </x14:dataValidation>
        <x14:dataValidation type="list" allowBlank="1" showInputMessage="1" showErrorMessage="1" xr:uid="{097D9FB4-0C40-4A16-93B8-7C237C7B99BF}">
          <x14:formula1>
            <xm:f>'Machinery Input Tables'!$C$133:$C$184</xm:f>
          </x14:formula1>
          <xm:sqref>B54:B57</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A42DC-A8C5-44B0-8388-BB9164C9F860}">
  <dimension ref="A1:L12"/>
  <sheetViews>
    <sheetView showGridLines="0" workbookViewId="0">
      <selection activeCell="L12" sqref="L12"/>
    </sheetView>
  </sheetViews>
  <sheetFormatPr defaultColWidth="0" defaultRowHeight="16.5" zeroHeight="1"/>
  <cols>
    <col min="1" max="1" width="2.125" customWidth="1"/>
    <col min="2" max="2" width="28.25" bestFit="1" customWidth="1"/>
    <col min="3" max="11" width="12.625" customWidth="1"/>
    <col min="12" max="12" width="3.125" customWidth="1"/>
    <col min="13" max="16384" width="9" hidden="1"/>
  </cols>
  <sheetData>
    <row r="1" spans="2:11" ht="17.25" thickBot="1"/>
    <row r="2" spans="2:11" ht="20.25">
      <c r="B2" s="310" t="s">
        <v>798</v>
      </c>
      <c r="C2" s="311"/>
      <c r="D2" s="311"/>
      <c r="E2" s="311"/>
      <c r="F2" s="311"/>
      <c r="G2" s="311"/>
      <c r="H2" s="311"/>
      <c r="I2" s="311"/>
      <c r="J2" s="311"/>
      <c r="K2" s="312"/>
    </row>
    <row r="3" spans="2:11" ht="17.25" thickBot="1">
      <c r="B3" s="16"/>
      <c r="C3" s="25" t="s">
        <v>3</v>
      </c>
      <c r="D3" s="25" t="s">
        <v>4</v>
      </c>
      <c r="E3" s="25" t="s">
        <v>752</v>
      </c>
      <c r="F3" s="25" t="s">
        <v>614</v>
      </c>
      <c r="G3" s="25" t="s">
        <v>615</v>
      </c>
      <c r="H3" s="25" t="s">
        <v>797</v>
      </c>
      <c r="I3" s="25" t="s">
        <v>809</v>
      </c>
      <c r="J3" s="25" t="s">
        <v>5</v>
      </c>
      <c r="K3" s="26" t="s">
        <v>781</v>
      </c>
    </row>
    <row r="4" spans="2:11">
      <c r="B4" s="18" t="s">
        <v>793</v>
      </c>
      <c r="C4" s="19">
        <f>Corn!F9</f>
        <v>1029.56</v>
      </c>
      <c r="D4" s="20">
        <f>Soybean!F9</f>
        <v>688.4</v>
      </c>
      <c r="E4" s="20">
        <f>'DC soybean'!F9</f>
        <v>567.09999999999991</v>
      </c>
      <c r="F4" s="20">
        <f>Cotton!F10</f>
        <v>876.76</v>
      </c>
      <c r="G4" s="20">
        <f>Peanut!F10</f>
        <v>1376.1</v>
      </c>
      <c r="H4" s="20">
        <f>'Hybrid rice'!F9</f>
        <v>1044</v>
      </c>
      <c r="I4" s="20">
        <f>'Conventional rice'!F9</f>
        <v>945</v>
      </c>
      <c r="J4" s="20">
        <f>'Winter wheat'!F9</f>
        <v>382.86</v>
      </c>
      <c r="K4" s="21">
        <f>'DC milo'!F9</f>
        <v>422.7</v>
      </c>
    </row>
    <row r="5" spans="2:11">
      <c r="B5" s="16" t="s">
        <v>371</v>
      </c>
      <c r="C5" s="10">
        <f>Corn!F34</f>
        <v>844.45015230670242</v>
      </c>
      <c r="D5" s="11">
        <f>Soybean!F35</f>
        <v>487.70227341580841</v>
      </c>
      <c r="E5" s="11">
        <f>'DC soybean'!F35</f>
        <v>394.38459940667406</v>
      </c>
      <c r="F5" s="11">
        <f>Cotton!F35</f>
        <v>767.42149000646953</v>
      </c>
      <c r="G5" s="11">
        <f>Peanut!F35</f>
        <v>650.89099826752181</v>
      </c>
      <c r="H5" s="11">
        <f>'Hybrid rice'!F34</f>
        <v>904.2128527060363</v>
      </c>
      <c r="I5" s="11">
        <f>'Conventional rice'!F34</f>
        <v>731.62790752205945</v>
      </c>
      <c r="J5" s="11">
        <f>'Winter wheat'!F35</f>
        <v>349.86665189963969</v>
      </c>
      <c r="K5" s="12">
        <f>'DC milo'!F35</f>
        <v>429.90970965475594</v>
      </c>
    </row>
    <row r="6" spans="2:11">
      <c r="B6" s="16" t="s">
        <v>867</v>
      </c>
      <c r="C6" s="10">
        <f>Corn!F40</f>
        <v>386.62275990706064</v>
      </c>
      <c r="D6" s="11">
        <f>Soybean!F41</f>
        <v>338.18252261459895</v>
      </c>
      <c r="E6" s="11">
        <f>'DC soybean'!F41</f>
        <v>209.5951180615744</v>
      </c>
      <c r="F6" s="11">
        <f>Cotton!F41</f>
        <v>380.09579387840284</v>
      </c>
      <c r="G6" s="11">
        <f>Peanut!F41</f>
        <v>409.86203525802853</v>
      </c>
      <c r="H6" s="11">
        <f>'Hybrid rice'!F40</f>
        <v>370.6807058248753</v>
      </c>
      <c r="I6" s="11">
        <f>'Conventional rice'!F40</f>
        <v>367.9449567219242</v>
      </c>
      <c r="J6" s="11">
        <f>'Winter wheat'!F41</f>
        <v>165.12291301264062</v>
      </c>
      <c r="K6" s="12">
        <f>'DC milo'!F41</f>
        <v>268.99440261010091</v>
      </c>
    </row>
    <row r="7" spans="2:11">
      <c r="B7" s="18" t="s">
        <v>375</v>
      </c>
      <c r="C7" s="22">
        <f>C5+C6</f>
        <v>1231.0729122137632</v>
      </c>
      <c r="D7" s="23">
        <f t="shared" ref="D7:K7" si="0">D5+D6</f>
        <v>825.88479603040741</v>
      </c>
      <c r="E7" s="23">
        <f t="shared" si="0"/>
        <v>603.97971746824851</v>
      </c>
      <c r="F7" s="23">
        <f t="shared" si="0"/>
        <v>1147.5172838848723</v>
      </c>
      <c r="G7" s="23">
        <f t="shared" si="0"/>
        <v>1060.7530335255503</v>
      </c>
      <c r="H7" s="23">
        <f t="shared" si="0"/>
        <v>1274.8935585309116</v>
      </c>
      <c r="I7" s="23">
        <f t="shared" si="0"/>
        <v>1099.5728642439835</v>
      </c>
      <c r="J7" s="23">
        <f t="shared" si="0"/>
        <v>514.98956491228034</v>
      </c>
      <c r="K7" s="24">
        <f t="shared" si="0"/>
        <v>698.90411226485685</v>
      </c>
    </row>
    <row r="8" spans="2:11">
      <c r="B8" s="16" t="s">
        <v>792</v>
      </c>
      <c r="C8" s="10">
        <f>C4-C5</f>
        <v>185.10984769329752</v>
      </c>
      <c r="D8" s="11">
        <f t="shared" ref="D8:K8" si="1">D4-D5</f>
        <v>200.69772658419157</v>
      </c>
      <c r="E8" s="11">
        <f t="shared" si="1"/>
        <v>172.71540059332585</v>
      </c>
      <c r="F8" s="11">
        <f t="shared" si="1"/>
        <v>109.33850999353047</v>
      </c>
      <c r="G8" s="11">
        <f t="shared" si="1"/>
        <v>725.2090017324781</v>
      </c>
      <c r="H8" s="11">
        <f t="shared" si="1"/>
        <v>139.7871472939637</v>
      </c>
      <c r="I8" s="11">
        <f t="shared" si="1"/>
        <v>213.37209247794055</v>
      </c>
      <c r="J8" s="11">
        <f t="shared" si="1"/>
        <v>32.993348100360322</v>
      </c>
      <c r="K8" s="12">
        <f t="shared" si="1"/>
        <v>-7.2097096547559545</v>
      </c>
    </row>
    <row r="9" spans="2:11">
      <c r="B9" s="16" t="s">
        <v>794</v>
      </c>
      <c r="C9" s="10">
        <f>Corn!F46</f>
        <v>54.373887786236764</v>
      </c>
      <c r="D9" s="11">
        <f>Soybean!F47</f>
        <v>108.16720396959256</v>
      </c>
      <c r="E9" s="11">
        <f>'DC soybean'!F47</f>
        <v>92.633282531751405</v>
      </c>
      <c r="F9" s="11">
        <f>Cotton!F47</f>
        <v>-19.454483884872324</v>
      </c>
      <c r="G9" s="11">
        <f>Peanut!F47</f>
        <v>581.62996647444959</v>
      </c>
      <c r="H9" s="11">
        <f>'Hybrid rice'!F46</f>
        <v>25.426441469088395</v>
      </c>
      <c r="I9" s="11">
        <f>'Conventional rice'!F46</f>
        <v>98.777135756016463</v>
      </c>
      <c r="J9" s="11">
        <f>'Winter wheat'!F47</f>
        <v>-8.1437649122803304</v>
      </c>
      <c r="K9" s="12">
        <f>'DC milo'!F47</f>
        <v>-151.02311226485685</v>
      </c>
    </row>
    <row r="10" spans="2:11">
      <c r="B10" s="18" t="s">
        <v>795</v>
      </c>
      <c r="C10" s="22">
        <f>C4-C7</f>
        <v>-201.51291221376323</v>
      </c>
      <c r="D10" s="23">
        <f t="shared" ref="D10:K10" si="2">D4-D7</f>
        <v>-137.48479603040744</v>
      </c>
      <c r="E10" s="23">
        <f t="shared" si="2"/>
        <v>-36.8797174682486</v>
      </c>
      <c r="F10" s="23">
        <f t="shared" si="2"/>
        <v>-270.75728388487232</v>
      </c>
      <c r="G10" s="23">
        <f t="shared" si="2"/>
        <v>315.34696647444957</v>
      </c>
      <c r="H10" s="23">
        <f t="shared" si="2"/>
        <v>-230.8935585309116</v>
      </c>
      <c r="I10" s="23">
        <f t="shared" si="2"/>
        <v>-154.57286424398353</v>
      </c>
      <c r="J10" s="23">
        <f t="shared" si="2"/>
        <v>-132.12956491228033</v>
      </c>
      <c r="K10" s="24">
        <f t="shared" si="2"/>
        <v>-276.20411226485686</v>
      </c>
    </row>
    <row r="11" spans="2:11" ht="17.25" thickBot="1">
      <c r="B11" s="17" t="s">
        <v>796</v>
      </c>
      <c r="C11" s="13">
        <f>C10/C7</f>
        <v>-0.16368885239412415</v>
      </c>
      <c r="D11" s="14">
        <f t="shared" ref="D11:K11" si="3">D10/D7</f>
        <v>-0.16646970218028512</v>
      </c>
      <c r="E11" s="14">
        <f t="shared" si="3"/>
        <v>-6.1061185337216863E-2</v>
      </c>
      <c r="F11" s="14">
        <f t="shared" si="3"/>
        <v>-0.23595050609454415</v>
      </c>
      <c r="G11" s="14">
        <f t="shared" si="3"/>
        <v>0.29728594357760452</v>
      </c>
      <c r="H11" s="14">
        <f t="shared" si="3"/>
        <v>-0.181108106622623</v>
      </c>
      <c r="I11" s="14">
        <f t="shared" si="3"/>
        <v>-0.14057537182882449</v>
      </c>
      <c r="J11" s="14">
        <f t="shared" si="3"/>
        <v>-0.25656746061405405</v>
      </c>
      <c r="K11" s="15">
        <f t="shared" si="3"/>
        <v>-0.39519600388355774</v>
      </c>
    </row>
    <row r="12" spans="2:11"/>
  </sheetData>
  <sheetProtection sheet="1" objects="1" scenarios="1"/>
  <mergeCells count="1">
    <mergeCell ref="B2:K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3F90A-CA5C-4E4C-8057-006F6ED826FE}">
  <sheetPr codeName="Sheet2"/>
  <dimension ref="A1:P48"/>
  <sheetViews>
    <sheetView showGridLines="0" workbookViewId="0">
      <selection activeCell="A15" sqref="A15:XFD1048576"/>
    </sheetView>
  </sheetViews>
  <sheetFormatPr defaultColWidth="0" defaultRowHeight="17.25" customHeight="1" zeroHeight="1"/>
  <cols>
    <col min="1" max="1" width="2.625" style="5" customWidth="1"/>
    <col min="2" max="2" width="22.625" style="144" bestFit="1" customWidth="1"/>
    <col min="3" max="3" width="17.25" style="144" customWidth="1"/>
    <col min="4" max="4" width="11.375" style="144" bestFit="1" customWidth="1"/>
    <col min="5" max="5" width="3.125" style="144" customWidth="1"/>
    <col min="6" max="6" width="11.875" style="144" hidden="1" customWidth="1"/>
    <col min="7" max="9" width="13.25" style="144" hidden="1" customWidth="1"/>
    <col min="10" max="11" width="11" style="144" hidden="1" customWidth="1"/>
    <col min="12" max="12" width="12" style="144" hidden="1" customWidth="1"/>
    <col min="13" max="13" width="12.25" style="144" hidden="1" customWidth="1"/>
    <col min="14" max="14" width="13.875" style="144" hidden="1" customWidth="1"/>
    <col min="15" max="15" width="12.375" style="5" hidden="1" customWidth="1"/>
    <col min="16" max="16" width="2.875" style="5" hidden="1" customWidth="1"/>
    <col min="17" max="16384" width="9" style="5" hidden="1"/>
  </cols>
  <sheetData>
    <row r="1" spans="2:15" ht="17.25" customHeight="1">
      <c r="B1" s="295" t="s">
        <v>362</v>
      </c>
      <c r="C1" s="296"/>
      <c r="D1" s="296"/>
      <c r="E1"/>
      <c r="F1"/>
      <c r="G1" s="5"/>
      <c r="H1" s="5"/>
      <c r="I1" s="5"/>
      <c r="J1" s="5"/>
      <c r="K1" s="5"/>
      <c r="L1" s="5"/>
      <c r="M1" s="5"/>
      <c r="N1" s="5"/>
    </row>
    <row r="2" spans="2:15" ht="17.25" customHeight="1">
      <c r="D2" s="192"/>
    </row>
    <row r="3" spans="2:15" ht="17.25" customHeight="1">
      <c r="B3" s="260" t="s">
        <v>915</v>
      </c>
      <c r="C3" s="258"/>
      <c r="D3" s="259"/>
    </row>
    <row r="4" spans="2:15" ht="17.25" customHeight="1">
      <c r="B4" s="35" t="s">
        <v>27</v>
      </c>
      <c r="C4" s="141" t="s">
        <v>12</v>
      </c>
      <c r="D4" s="195">
        <v>0.7</v>
      </c>
    </row>
    <row r="5" spans="2:15" ht="17.25" customHeight="1">
      <c r="B5" s="35" t="s">
        <v>7</v>
      </c>
      <c r="C5" s="141" t="s">
        <v>895</v>
      </c>
      <c r="D5" s="195">
        <v>0.73</v>
      </c>
    </row>
    <row r="6" spans="2:15" ht="17.25" customHeight="1">
      <c r="B6" s="36" t="s">
        <v>8</v>
      </c>
      <c r="C6" s="84" t="s">
        <v>896</v>
      </c>
      <c r="D6" s="195">
        <v>0.42</v>
      </c>
    </row>
    <row r="7" spans="2:15" ht="17.25" customHeight="1">
      <c r="B7" s="36" t="s">
        <v>9</v>
      </c>
      <c r="C7" s="84" t="s">
        <v>13</v>
      </c>
      <c r="D7" s="195">
        <v>35</v>
      </c>
    </row>
    <row r="8" spans="2:15" ht="17.25" customHeight="1">
      <c r="B8" s="36" t="s">
        <v>364</v>
      </c>
      <c r="C8" s="84" t="s">
        <v>16</v>
      </c>
      <c r="D8" s="196">
        <v>22.5</v>
      </c>
    </row>
    <row r="9" spans="2:15" ht="17.25" customHeight="1">
      <c r="B9" s="36" t="s">
        <v>365</v>
      </c>
      <c r="C9" s="84" t="s">
        <v>17</v>
      </c>
      <c r="D9" s="196">
        <v>2.9</v>
      </c>
    </row>
    <row r="10" spans="2:15" ht="17.25" customHeight="1">
      <c r="B10" s="33" t="s">
        <v>11</v>
      </c>
      <c r="C10" s="187" t="s">
        <v>363</v>
      </c>
      <c r="D10" s="262">
        <v>7.2499999999999995E-2</v>
      </c>
    </row>
    <row r="11" spans="2:15" ht="17.25" customHeight="1">
      <c r="B11" s="33"/>
      <c r="C11" s="187"/>
      <c r="D11" s="261"/>
    </row>
    <row r="12" spans="2:15" ht="17.25" customHeight="1">
      <c r="B12" s="260" t="s">
        <v>867</v>
      </c>
      <c r="C12" s="187"/>
      <c r="D12" s="261"/>
    </row>
    <row r="13" spans="2:15" ht="17.25" customHeight="1">
      <c r="B13" s="193" t="s">
        <v>18</v>
      </c>
      <c r="C13" s="106" t="s">
        <v>789</v>
      </c>
      <c r="D13" s="194">
        <v>0.03</v>
      </c>
    </row>
    <row r="14" spans="2:15" ht="17.25" customHeight="1">
      <c r="O14" s="8"/>
    </row>
    <row r="15" spans="2:15" ht="17.25" hidden="1" customHeight="1">
      <c r="O15" s="8"/>
    </row>
    <row r="17" spans="6:16" ht="17.25" hidden="1" customHeight="1">
      <c r="H17" s="144" t="s">
        <v>888</v>
      </c>
      <c r="I17" s="144" t="s">
        <v>889</v>
      </c>
      <c r="K17" s="144" t="s">
        <v>890</v>
      </c>
      <c r="L17" s="144" t="s">
        <v>891</v>
      </c>
      <c r="M17" s="144" t="s">
        <v>892</v>
      </c>
      <c r="N17" s="144" t="s">
        <v>893</v>
      </c>
      <c r="O17" s="144" t="s">
        <v>5</v>
      </c>
      <c r="P17" s="144" t="s">
        <v>894</v>
      </c>
    </row>
    <row r="18" spans="6:16" ht="17.25" hidden="1" customHeight="1">
      <c r="M18" s="144" t="s">
        <v>763</v>
      </c>
      <c r="N18" s="144" t="s">
        <v>763</v>
      </c>
      <c r="O18" s="144"/>
      <c r="P18" s="144"/>
    </row>
    <row r="19" spans="6:16" ht="17.25" hidden="1" customHeight="1">
      <c r="F19" s="144" t="s">
        <v>712</v>
      </c>
      <c r="H19" s="144" t="s">
        <v>730</v>
      </c>
      <c r="I19" s="144" t="s">
        <v>737</v>
      </c>
      <c r="K19" s="144" t="s">
        <v>776</v>
      </c>
      <c r="L19" s="144" t="s">
        <v>730</v>
      </c>
      <c r="M19" s="144" t="s">
        <v>760</v>
      </c>
      <c r="N19" s="144" t="s">
        <v>760</v>
      </c>
      <c r="O19" s="144" t="s">
        <v>704</v>
      </c>
      <c r="P19" s="144" t="s">
        <v>737</v>
      </c>
    </row>
    <row r="20" spans="6:16" ht="17.25" hidden="1" customHeight="1">
      <c r="F20" s="144" t="s">
        <v>703</v>
      </c>
      <c r="H20" s="144" t="s">
        <v>731</v>
      </c>
      <c r="I20" s="144" t="s">
        <v>738</v>
      </c>
      <c r="K20" s="144" t="s">
        <v>777</v>
      </c>
      <c r="L20" s="144" t="s">
        <v>782</v>
      </c>
      <c r="M20" s="144" t="s">
        <v>761</v>
      </c>
      <c r="N20" s="144" t="s">
        <v>761</v>
      </c>
      <c r="O20" s="144" t="s">
        <v>706</v>
      </c>
      <c r="P20" s="144" t="s">
        <v>743</v>
      </c>
    </row>
    <row r="21" spans="6:16" ht="17.25" hidden="1" customHeight="1">
      <c r="H21" s="144" t="s">
        <v>732</v>
      </c>
      <c r="I21" s="144" t="s">
        <v>732</v>
      </c>
      <c r="K21" s="144" t="s">
        <v>778</v>
      </c>
      <c r="L21" s="144" t="s">
        <v>732</v>
      </c>
      <c r="O21" s="144" t="s">
        <v>705</v>
      </c>
      <c r="P21" s="144" t="s">
        <v>765</v>
      </c>
    </row>
    <row r="22" spans="6:16" ht="17.25" hidden="1" customHeight="1">
      <c r="H22" s="144" t="s">
        <v>733</v>
      </c>
      <c r="I22" s="144" t="s">
        <v>739</v>
      </c>
      <c r="L22" s="144" t="s">
        <v>783</v>
      </c>
      <c r="O22" s="144" t="s">
        <v>707</v>
      </c>
      <c r="P22" s="144" t="s">
        <v>766</v>
      </c>
    </row>
    <row r="23" spans="6:16" ht="17.25" hidden="1" customHeight="1">
      <c r="H23" s="144" t="s">
        <v>734</v>
      </c>
      <c r="I23" s="144" t="s">
        <v>740</v>
      </c>
      <c r="O23" s="144" t="s">
        <v>708</v>
      </c>
      <c r="P23" s="144" t="s">
        <v>767</v>
      </c>
    </row>
    <row r="24" spans="6:16" ht="17.25" hidden="1" customHeight="1">
      <c r="I24" s="144" t="s">
        <v>741</v>
      </c>
      <c r="O24" s="144" t="s">
        <v>709</v>
      </c>
      <c r="P24" s="144" t="s">
        <v>768</v>
      </c>
    </row>
    <row r="25" spans="6:16" ht="17.25" hidden="1" customHeight="1">
      <c r="I25" s="144" t="s">
        <v>742</v>
      </c>
      <c r="O25" s="144" t="s">
        <v>710</v>
      </c>
      <c r="P25" s="144" t="s">
        <v>732</v>
      </c>
    </row>
    <row r="26" spans="6:16" ht="17.25" hidden="1" customHeight="1">
      <c r="I26" s="144" t="s">
        <v>743</v>
      </c>
      <c r="O26" s="144"/>
      <c r="P26" s="144"/>
    </row>
    <row r="27" spans="6:16" ht="17.25" hidden="1" customHeight="1">
      <c r="I27" s="144" t="s">
        <v>744</v>
      </c>
      <c r="O27" s="144"/>
      <c r="P27" s="144"/>
    </row>
    <row r="28" spans="6:16" ht="17.25" hidden="1" customHeight="1">
      <c r="O28" s="144"/>
      <c r="P28" s="144"/>
    </row>
    <row r="29" spans="6:16" ht="17.25" hidden="1" customHeight="1">
      <c r="H29" s="144" t="s">
        <v>735</v>
      </c>
      <c r="I29" s="144" t="s">
        <v>745</v>
      </c>
      <c r="L29" s="144" t="s">
        <v>784</v>
      </c>
      <c r="O29" s="144" t="s">
        <v>713</v>
      </c>
      <c r="P29" s="144" t="s">
        <v>769</v>
      </c>
    </row>
    <row r="30" spans="6:16" ht="17.25" hidden="1" customHeight="1">
      <c r="F30" s="144" t="s">
        <v>711</v>
      </c>
      <c r="L30" s="144" t="s">
        <v>785</v>
      </c>
      <c r="O30" s="144" t="s">
        <v>714</v>
      </c>
      <c r="P30" s="144" t="s">
        <v>770</v>
      </c>
    </row>
    <row r="31" spans="6:16" ht="17.25" hidden="1" customHeight="1">
      <c r="L31" s="144" t="s">
        <v>786</v>
      </c>
      <c r="O31" s="144" t="s">
        <v>715</v>
      </c>
      <c r="P31" s="144"/>
    </row>
    <row r="32" spans="6:16" ht="17.25" hidden="1" customHeight="1">
      <c r="O32" s="144" t="s">
        <v>716</v>
      </c>
      <c r="P32" s="144"/>
    </row>
    <row r="33" spans="6:16" ht="17.25" hidden="1" customHeight="1">
      <c r="O33" s="144" t="s">
        <v>717</v>
      </c>
      <c r="P33" s="144"/>
    </row>
    <row r="34" spans="6:16" ht="17.25" hidden="1" customHeight="1">
      <c r="O34" s="144" t="s">
        <v>718</v>
      </c>
      <c r="P34" s="144"/>
    </row>
    <row r="35" spans="6:16" ht="17.25" hidden="1" customHeight="1">
      <c r="O35" s="144" t="s">
        <v>719</v>
      </c>
      <c r="P35" s="144"/>
    </row>
    <row r="36" spans="6:16" ht="17.25" hidden="1" customHeight="1">
      <c r="O36" s="144" t="s">
        <v>720</v>
      </c>
      <c r="P36" s="144"/>
    </row>
    <row r="37" spans="6:16" ht="17.25" hidden="1" customHeight="1">
      <c r="O37" s="144" t="s">
        <v>721</v>
      </c>
      <c r="P37" s="144"/>
    </row>
    <row r="38" spans="6:16" ht="17.25" hidden="1" customHeight="1">
      <c r="O38" s="144"/>
      <c r="P38" s="144"/>
    </row>
    <row r="39" spans="6:16" ht="17.25" hidden="1" customHeight="1">
      <c r="H39" s="144" t="s">
        <v>736</v>
      </c>
      <c r="I39" s="144" t="s">
        <v>746</v>
      </c>
      <c r="K39" s="144" t="s">
        <v>779</v>
      </c>
      <c r="M39" s="144" t="s">
        <v>762</v>
      </c>
      <c r="N39" s="144" t="s">
        <v>764</v>
      </c>
      <c r="O39" s="144" t="s">
        <v>723</v>
      </c>
      <c r="P39" s="144" t="s">
        <v>771</v>
      </c>
    </row>
    <row r="40" spans="6:16" ht="17.25" hidden="1" customHeight="1">
      <c r="F40" s="144" t="s">
        <v>722</v>
      </c>
      <c r="I40" s="144" t="s">
        <v>747</v>
      </c>
      <c r="K40" s="144" t="s">
        <v>780</v>
      </c>
      <c r="O40" s="144"/>
      <c r="P40" s="144" t="s">
        <v>772</v>
      </c>
    </row>
    <row r="41" spans="6:16" ht="17.25" hidden="1" customHeight="1">
      <c r="O41" s="144"/>
      <c r="P41" s="144" t="s">
        <v>773</v>
      </c>
    </row>
    <row r="42" spans="6:16" ht="17.25" hidden="1" customHeight="1">
      <c r="O42" s="144"/>
      <c r="P42" s="144" t="s">
        <v>774</v>
      </c>
    </row>
    <row r="43" spans="6:16" ht="17.25" hidden="1" customHeight="1">
      <c r="O43" s="144"/>
      <c r="P43" s="144" t="s">
        <v>775</v>
      </c>
    </row>
    <row r="44" spans="6:16" ht="17.25" hidden="1" customHeight="1">
      <c r="O44" s="144"/>
      <c r="P44" s="144"/>
    </row>
    <row r="45" spans="6:16" ht="17.25" hidden="1" customHeight="1">
      <c r="I45" s="144" t="s">
        <v>748</v>
      </c>
      <c r="O45" s="144" t="s">
        <v>725</v>
      </c>
      <c r="P45" s="144"/>
    </row>
    <row r="46" spans="6:16" ht="17.25" hidden="1" customHeight="1">
      <c r="F46" s="144" t="s">
        <v>724</v>
      </c>
      <c r="I46" s="144" t="s">
        <v>749</v>
      </c>
      <c r="O46" s="144" t="s">
        <v>726</v>
      </c>
      <c r="P46" s="144"/>
    </row>
    <row r="47" spans="6:16" ht="17.25" hidden="1" customHeight="1">
      <c r="O47" s="144" t="s">
        <v>727</v>
      </c>
      <c r="P47" s="144"/>
    </row>
    <row r="48" spans="6:16" ht="17.25" hidden="1" customHeight="1">
      <c r="O48" s="144" t="s">
        <v>728</v>
      </c>
      <c r="P48" s="144"/>
    </row>
  </sheetData>
  <sheetProtection sheet="1" objects="1" scenarios="1"/>
  <protectedRanges>
    <protectedRange sqref="D4:D13" name="Grey cells"/>
  </protectedRanges>
  <mergeCells count="1">
    <mergeCell ref="B1:D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A5FE9-4A40-4526-B447-E3E53F3B5367}">
  <dimension ref="A1:CU212"/>
  <sheetViews>
    <sheetView topLeftCell="N1" workbookViewId="0">
      <selection activeCell="X6" sqref="X6"/>
    </sheetView>
  </sheetViews>
  <sheetFormatPr defaultColWidth="0" defaultRowHeight="15.75"/>
  <cols>
    <col min="1" max="1" width="3" style="144" customWidth="1"/>
    <col min="2" max="2" width="45.75" style="144" customWidth="1"/>
    <col min="3" max="3" width="42.375" style="144" bestFit="1" customWidth="1"/>
    <col min="4" max="7" width="10.625" style="144" customWidth="1"/>
    <col min="8" max="8" width="15.875" style="144" bestFit="1" customWidth="1"/>
    <col min="9" max="14" width="10.625" style="144" customWidth="1"/>
    <col min="15" max="15" width="26.625" style="144" customWidth="1"/>
    <col min="16" max="30" width="10.625" style="144" customWidth="1"/>
    <col min="31" max="31" width="8" style="144" customWidth="1"/>
    <col min="32" max="32" width="17" style="144" bestFit="1" customWidth="1"/>
    <col min="33" max="33" width="34.5" style="144" customWidth="1"/>
    <col min="34" max="34" width="29.5" style="144" bestFit="1" customWidth="1"/>
    <col min="35" max="35" width="5.375" style="144" bestFit="1" customWidth="1"/>
    <col min="36" max="36" width="18.25" style="144" customWidth="1"/>
    <col min="37" max="37" width="9.75" style="144" bestFit="1" customWidth="1"/>
    <col min="38" max="38" width="9.125" style="144" customWidth="1"/>
    <col min="39" max="39" width="8.5" style="144" bestFit="1" customWidth="1"/>
    <col min="40" max="42" width="9.25" style="144" bestFit="1" customWidth="1"/>
    <col min="43" max="43" width="9.5" style="144" bestFit="1" customWidth="1"/>
    <col min="44" max="44" width="10.625" style="144" customWidth="1"/>
    <col min="45" max="45" width="28.125" style="144" bestFit="1" customWidth="1"/>
    <col min="46" max="46" width="11.5" style="144" customWidth="1"/>
    <col min="47" max="47" width="8.625" style="144" bestFit="1" customWidth="1"/>
    <col min="48" max="48" width="10.25" style="144" bestFit="1" customWidth="1"/>
    <col min="49" max="49" width="10" style="144" bestFit="1" customWidth="1"/>
    <col min="50" max="50" width="8.625" style="144" bestFit="1" customWidth="1"/>
    <col min="51" max="51" width="9.125" style="144" bestFit="1" customWidth="1"/>
    <col min="52" max="52" width="7.125" style="144" bestFit="1" customWidth="1"/>
    <col min="53" max="53" width="19.125" style="144" bestFit="1" customWidth="1"/>
    <col min="54" max="54" width="34.25" style="144" customWidth="1"/>
    <col min="55" max="55" width="19" style="144" customWidth="1"/>
    <col min="56" max="56" width="6.75" style="144" customWidth="1"/>
    <col min="57" max="58" width="9.25" style="144" bestFit="1" customWidth="1"/>
    <col min="59" max="59" width="9.75" style="144" customWidth="1"/>
    <col min="60" max="64" width="9.25" style="144" bestFit="1" customWidth="1"/>
    <col min="65" max="65" width="6.5" style="144" customWidth="1"/>
    <col min="66" max="66" width="3.625" style="144" customWidth="1"/>
    <col min="67" max="67" width="53.25" style="144" customWidth="1"/>
    <col min="68" max="68" width="9.5" style="144" customWidth="1"/>
    <col min="69" max="69" width="2.75" style="144" customWidth="1"/>
    <col min="70" max="70" width="9" style="144" hidden="1"/>
    <col min="71" max="71" width="61.75" style="144" hidden="1" customWidth="1"/>
    <col min="72" max="72" width="9.25" style="144" hidden="1" customWidth="1"/>
    <col min="73" max="77" width="9" style="144" hidden="1"/>
    <col min="78" max="78" width="8.75" style="144" hidden="1" customWidth="1"/>
    <col min="79" max="79" width="12.375" style="144" hidden="1" customWidth="1"/>
    <col min="80" max="80" width="8.75" style="144" hidden="1" customWidth="1"/>
    <col min="81" max="81" width="10.5" style="144" hidden="1" customWidth="1"/>
    <col min="82" max="82" width="10" style="144" hidden="1" customWidth="1"/>
    <col min="83" max="87" width="8.75" style="144" hidden="1" customWidth="1"/>
    <col min="88" max="88" width="28.5" style="144" hidden="1" customWidth="1"/>
    <col min="89" max="90" width="10.5" style="144" hidden="1" customWidth="1"/>
    <col min="91" max="92" width="8.75" style="144" hidden="1" customWidth="1"/>
    <col min="93" max="93" width="10.5" style="144" hidden="1" customWidth="1"/>
    <col min="94" max="94" width="8.75" style="144" hidden="1" customWidth="1"/>
    <col min="95" max="95" width="9.375" style="144" hidden="1" customWidth="1"/>
    <col min="96" max="96" width="14.375" style="144" hidden="1" customWidth="1"/>
    <col min="97" max="97" width="8.75" style="144" hidden="1" customWidth="1"/>
    <col min="98" max="98" width="11" style="144" hidden="1" customWidth="1"/>
    <col min="99" max="99" width="11.875" style="144" hidden="1" customWidth="1"/>
    <col min="100" max="16384" width="9" style="144" hidden="1"/>
  </cols>
  <sheetData>
    <row r="1" spans="1:71" ht="28.5" customHeight="1">
      <c r="B1" s="297" t="s">
        <v>810</v>
      </c>
      <c r="C1" s="297"/>
      <c r="D1" s="297"/>
      <c r="E1" s="297"/>
      <c r="F1" s="144" t="s">
        <v>650</v>
      </c>
    </row>
    <row r="2" spans="1:71">
      <c r="B2" s="145" t="s">
        <v>811</v>
      </c>
      <c r="C2" s="145"/>
      <c r="BC2" s="144">
        <v>1</v>
      </c>
      <c r="BD2" s="144">
        <v>2</v>
      </c>
      <c r="BE2" s="144">
        <v>3</v>
      </c>
      <c r="BF2" s="144">
        <v>4</v>
      </c>
      <c r="BG2" s="144">
        <v>5</v>
      </c>
      <c r="BH2" s="144">
        <v>6</v>
      </c>
      <c r="BI2" s="144">
        <v>7</v>
      </c>
      <c r="BJ2" s="144">
        <v>8</v>
      </c>
      <c r="BK2" s="144">
        <v>9</v>
      </c>
      <c r="BL2" s="144">
        <v>10</v>
      </c>
      <c r="BM2" s="144">
        <v>11</v>
      </c>
    </row>
    <row r="3" spans="1:71">
      <c r="B3" s="144">
        <v>1</v>
      </c>
      <c r="C3" s="144">
        <v>2</v>
      </c>
      <c r="D3" s="144">
        <v>3</v>
      </c>
      <c r="E3" s="144">
        <v>4</v>
      </c>
      <c r="F3" s="144">
        <v>5</v>
      </c>
      <c r="G3" s="144">
        <v>6</v>
      </c>
      <c r="H3" s="144">
        <v>7</v>
      </c>
      <c r="I3" s="144">
        <v>8</v>
      </c>
      <c r="J3" s="144">
        <v>9</v>
      </c>
      <c r="K3" s="144">
        <v>10</v>
      </c>
      <c r="L3" s="144">
        <v>11</v>
      </c>
      <c r="M3" s="144">
        <v>12</v>
      </c>
      <c r="N3" s="144">
        <v>13</v>
      </c>
      <c r="O3" s="144">
        <v>14</v>
      </c>
      <c r="P3" s="144">
        <v>15</v>
      </c>
      <c r="Q3" s="144">
        <v>16</v>
      </c>
      <c r="R3" s="144">
        <v>17</v>
      </c>
      <c r="S3" s="144">
        <v>18</v>
      </c>
      <c r="T3" s="144">
        <v>19</v>
      </c>
      <c r="U3" s="144">
        <v>20</v>
      </c>
      <c r="V3" s="144">
        <v>21</v>
      </c>
      <c r="W3" s="144">
        <v>22</v>
      </c>
      <c r="X3" s="144">
        <v>23</v>
      </c>
      <c r="Y3" s="144">
        <v>24</v>
      </c>
      <c r="Z3" s="144">
        <v>25</v>
      </c>
      <c r="AA3" s="144">
        <v>26</v>
      </c>
      <c r="AB3" s="144">
        <v>27</v>
      </c>
      <c r="AC3" s="144">
        <v>28</v>
      </c>
      <c r="AD3" s="144">
        <v>29</v>
      </c>
      <c r="AE3" s="144">
        <v>30</v>
      </c>
      <c r="AF3" s="144">
        <v>31</v>
      </c>
      <c r="AH3" s="144">
        <v>1</v>
      </c>
      <c r="AI3" s="144">
        <v>2</v>
      </c>
      <c r="AJ3" s="144">
        <v>3</v>
      </c>
      <c r="AK3" s="144">
        <v>4</v>
      </c>
      <c r="AL3" s="144">
        <v>5</v>
      </c>
      <c r="AM3" s="144">
        <v>6</v>
      </c>
      <c r="AN3" s="144">
        <v>7</v>
      </c>
      <c r="AO3" s="144">
        <v>8</v>
      </c>
      <c r="AP3" s="144">
        <v>9</v>
      </c>
      <c r="AQ3" s="144">
        <v>10</v>
      </c>
      <c r="AR3" s="144">
        <v>11</v>
      </c>
      <c r="AS3" s="144">
        <v>12</v>
      </c>
      <c r="AT3" s="144">
        <v>13</v>
      </c>
      <c r="AU3" s="144">
        <v>14</v>
      </c>
      <c r="AV3" s="144">
        <v>15</v>
      </c>
      <c r="AW3" s="144">
        <v>16</v>
      </c>
      <c r="AX3" s="144">
        <v>17</v>
      </c>
      <c r="AY3" s="144">
        <v>18</v>
      </c>
      <c r="AZ3" s="144">
        <v>19</v>
      </c>
      <c r="BA3" s="144">
        <v>20</v>
      </c>
      <c r="BC3" s="144" t="s">
        <v>494</v>
      </c>
      <c r="BO3" s="144" t="s">
        <v>495</v>
      </c>
    </row>
    <row r="4" spans="1:71">
      <c r="A4" s="146"/>
      <c r="B4" s="147" t="s">
        <v>377</v>
      </c>
      <c r="AH4" s="148" t="s">
        <v>474</v>
      </c>
      <c r="AJ4" s="149"/>
      <c r="AK4" s="150"/>
      <c r="AL4" s="149"/>
      <c r="AM4" s="151"/>
      <c r="AN4" s="151"/>
      <c r="AO4" s="151"/>
      <c r="AP4" s="149"/>
      <c r="AQ4" s="152"/>
      <c r="AR4" s="153"/>
      <c r="AS4" s="152"/>
      <c r="AT4" s="152"/>
      <c r="BC4" s="147" t="s">
        <v>496</v>
      </c>
      <c r="BO4" s="147" t="s">
        <v>496</v>
      </c>
    </row>
    <row r="5" spans="1:71" ht="28.5" customHeight="1">
      <c r="A5" s="154"/>
      <c r="B5" s="155" t="s">
        <v>378</v>
      </c>
      <c r="C5" s="155" t="s">
        <v>379</v>
      </c>
      <c r="D5" s="155" t="s">
        <v>380</v>
      </c>
      <c r="E5" s="155" t="s">
        <v>381</v>
      </c>
      <c r="F5" s="155" t="s">
        <v>382</v>
      </c>
      <c r="G5" s="155" t="s">
        <v>383</v>
      </c>
      <c r="H5" s="155" t="s">
        <v>384</v>
      </c>
      <c r="I5" s="155" t="s">
        <v>385</v>
      </c>
      <c r="J5" s="155" t="s">
        <v>386</v>
      </c>
      <c r="K5" s="155" t="s">
        <v>387</v>
      </c>
      <c r="L5" s="155" t="s">
        <v>388</v>
      </c>
      <c r="M5" s="155" t="s">
        <v>389</v>
      </c>
      <c r="N5" s="155" t="s">
        <v>651</v>
      </c>
      <c r="O5" s="155" t="s">
        <v>390</v>
      </c>
      <c r="P5" s="155" t="s">
        <v>391</v>
      </c>
      <c r="Q5" s="155" t="s">
        <v>392</v>
      </c>
      <c r="R5" s="155" t="s">
        <v>393</v>
      </c>
      <c r="S5" s="155" t="s">
        <v>394</v>
      </c>
      <c r="T5" s="155" t="s">
        <v>395</v>
      </c>
      <c r="U5" s="155" t="s">
        <v>396</v>
      </c>
      <c r="V5" s="155" t="s">
        <v>479</v>
      </c>
      <c r="W5" s="155" t="s">
        <v>480</v>
      </c>
      <c r="X5" s="155" t="s">
        <v>481</v>
      </c>
      <c r="Y5" s="155" t="s">
        <v>483</v>
      </c>
      <c r="Z5" s="155" t="s">
        <v>652</v>
      </c>
      <c r="AA5" s="155" t="s">
        <v>397</v>
      </c>
      <c r="AB5" s="155" t="s">
        <v>653</v>
      </c>
      <c r="AC5" s="155" t="s">
        <v>398</v>
      </c>
      <c r="AD5" s="155" t="s">
        <v>399</v>
      </c>
      <c r="AE5" s="155" t="s">
        <v>400</v>
      </c>
      <c r="AF5" s="156" t="s">
        <v>401</v>
      </c>
      <c r="AG5" s="157"/>
      <c r="AH5" s="158" t="s">
        <v>475</v>
      </c>
      <c r="AI5" s="159" t="s">
        <v>476</v>
      </c>
      <c r="AJ5" s="159" t="s">
        <v>477</v>
      </c>
      <c r="AK5" s="160" t="s">
        <v>384</v>
      </c>
      <c r="AL5" s="160" t="s">
        <v>385</v>
      </c>
      <c r="AM5" s="160" t="s">
        <v>386</v>
      </c>
      <c r="AN5" s="160" t="s">
        <v>619</v>
      </c>
      <c r="AO5" s="160" t="s">
        <v>812</v>
      </c>
      <c r="AP5" s="160" t="s">
        <v>387</v>
      </c>
      <c r="AQ5" s="160" t="s">
        <v>388</v>
      </c>
      <c r="AR5" s="161" t="s">
        <v>478</v>
      </c>
      <c r="AS5" s="158" t="s">
        <v>390</v>
      </c>
      <c r="AT5" s="160" t="s">
        <v>394</v>
      </c>
      <c r="AU5" s="160" t="s">
        <v>395</v>
      </c>
      <c r="AV5" s="160" t="s">
        <v>396</v>
      </c>
      <c r="AW5" s="160" t="s">
        <v>479</v>
      </c>
      <c r="AX5" s="160" t="s">
        <v>480</v>
      </c>
      <c r="AY5" s="160" t="s">
        <v>481</v>
      </c>
      <c r="AZ5" s="160" t="s">
        <v>482</v>
      </c>
      <c r="BA5" s="160" t="s">
        <v>483</v>
      </c>
      <c r="BB5" s="158"/>
      <c r="BC5" s="158" t="s">
        <v>504</v>
      </c>
      <c r="BD5" s="162" t="s">
        <v>505</v>
      </c>
      <c r="BE5" s="162" t="s">
        <v>506</v>
      </c>
      <c r="BF5" s="162" t="s">
        <v>507</v>
      </c>
      <c r="BG5" s="162" t="s">
        <v>508</v>
      </c>
      <c r="BH5" s="162" t="s">
        <v>509</v>
      </c>
      <c r="BI5" s="162" t="s">
        <v>510</v>
      </c>
      <c r="BJ5" s="162" t="s">
        <v>511</v>
      </c>
      <c r="BK5" s="162" t="s">
        <v>877</v>
      </c>
      <c r="BL5" s="162" t="s">
        <v>512</v>
      </c>
      <c r="BM5" s="162" t="s">
        <v>513</v>
      </c>
      <c r="BO5" s="158" t="s">
        <v>514</v>
      </c>
      <c r="BP5" s="160" t="s">
        <v>515</v>
      </c>
    </row>
    <row r="6" spans="1:71">
      <c r="A6" s="154"/>
      <c r="B6" s="144" t="str">
        <f>Implements712[[#This Row],[Implement type]]&amp;", "&amp;Implements712[[#This Row],[Width]]&amp;" "&amp;Implements712[[#This Row],[Width Unit]]</f>
        <v>Sprayer, hooded, 18 Ft Folding</v>
      </c>
      <c r="C6" s="170" t="s">
        <v>638</v>
      </c>
      <c r="D6" s="171">
        <v>18</v>
      </c>
      <c r="E6" s="170" t="s">
        <v>421</v>
      </c>
      <c r="F6" s="171"/>
      <c r="G6" s="170" t="s">
        <v>212</v>
      </c>
      <c r="H6" s="172">
        <v>40500</v>
      </c>
      <c r="I6" s="173">
        <v>0.1</v>
      </c>
      <c r="J6" s="174">
        <f t="shared" ref="J6:J18" si="0">H6/(1-I6)</f>
        <v>45000</v>
      </c>
      <c r="K6" s="198">
        <f>VLOOKUP(Implements712[[#This Row],[ASABEtype]],ASABECoefficients813[],4,FALSE)/Implements712[[#This Row],[Use (hr/yr)]]</f>
        <v>15</v>
      </c>
      <c r="L6" s="199">
        <v>100</v>
      </c>
      <c r="M6" s="176">
        <f>IF(Implements712[[#This Row],[Use basis]]="hour",,L6*(D6*P6*Q6)/8.25)</f>
        <v>1145.4545454545455</v>
      </c>
      <c r="N6" s="200" t="s">
        <v>654</v>
      </c>
      <c r="O6" s="171" t="s">
        <v>469</v>
      </c>
      <c r="P6" s="171">
        <v>7</v>
      </c>
      <c r="Q6" s="173">
        <v>0.75</v>
      </c>
      <c r="R6" s="173">
        <v>1.1000000000000001</v>
      </c>
      <c r="S6" s="171">
        <v>150</v>
      </c>
      <c r="T6"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0.4656071203012615</v>
      </c>
      <c r="U6" s="179">
        <f>Implements712[[#This Row],[TradeIn%]]*Implements712[[#This Row],[PriceL]]</f>
        <v>20952.320413556768</v>
      </c>
      <c r="V6" s="180">
        <f>(Implements712[[#This Row],[PriceP]]-Implements712[[#This Row],[TradeIn$]])/Implements712[[#This Row],[Life (yr)]]/Implements712[[#This Row],[Use (hr/yr)]]</f>
        <v>13.031786390962154</v>
      </c>
      <c r="W6" s="180">
        <f>((Implements712[[#This Row],[PriceP]]+Implements712[[#This Row],[TradeIn$]])/2*($BP$7+$BP$8+$BP$9)+Implements712[[#This Row],[Shed (ft^2)]]*$BP$12)/Implements712[[#This Row],[Use (hr/yr)]]</f>
        <v>27.624497777829404</v>
      </c>
      <c r="X6" s="180">
        <f>Implements712[[#This Row],[PriceL]]*(VLOOKUP(Implements712[[#This Row],[ASABEtype]],$BC$6:$BM$52,2)*(Implements712[[#This Row],[Life (yr)]]*Implements712[[#This Row],[Use (hr/yr)]]/1000)^VLOOKUP(Implements712[[#This Row],[ASABEtype]],$BC$6:$BM$52,3))/Implements712[[#This Row],[Life (yr)]]/Implements712[[#This Row],[Use (hr/yr)]]</f>
        <v>20.836450959178983</v>
      </c>
      <c r="Y6" s="180">
        <f>Implements712[[#This Row],[Depr ($/hr)]]+Implements712[[#This Row],[OH ($/hr)]]</f>
        <v>40.656284168791558</v>
      </c>
      <c r="Z6" s="180">
        <f>(Implements712[[#This Row],[PriceP]]-Implements712[[#This Row],[TradeIn$]])/Implements712[[#This Row],[Life (yr)]]/Implements712[[#This Row],[Use (ac/yr)]]</f>
        <v>1.1376956373062197</v>
      </c>
      <c r="AA6" s="201">
        <f>((Implements712[[#This Row],[PriceP]]+Implements712[[#This Row],[TradeIn$]])/2*($BP$7+$BP$8+$BP$9)+Implements712[[#This Row],[Shed (ft^2)]]*$BP$12)/Implements712[[#This Row],[Use (ac/yr)]]</f>
        <v>2.4116625044136781</v>
      </c>
      <c r="AB6"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1.8190552424680064</v>
      </c>
      <c r="AC6" s="182">
        <f>IF(Implements712[[#This Row],[Use basis]]="hour","-",$BP$18/(Implements712[[#This Row],[Width]]*Implements712[[#This Row],[Speed]]*Implements712[[#This Row],[Efficiency]]))</f>
        <v>8.7301587301587297E-2</v>
      </c>
      <c r="AD6" s="163">
        <f>IF(Implements712[[#This Row],[Use basis]]=$N$128,Implements712[[#This Row],[Ownership costs ($/hr)]],SUM(Implements712[[#This Row],[Depr ($/ac)2]:[OH ($/ac)]]))</f>
        <v>3.5493581417198978</v>
      </c>
      <c r="AE6" s="163"/>
      <c r="AF6" s="163" t="s">
        <v>644</v>
      </c>
      <c r="AG6" s="163"/>
      <c r="AH6" s="202" t="str">
        <f t="shared" ref="AH6:AH31" si="1">CONCATENATE(AI6&amp;" "&amp;AJ6)</f>
        <v>400 CC 4x4 ATV</v>
      </c>
      <c r="AI6" s="203">
        <v>400</v>
      </c>
      <c r="AJ6" s="204" t="s">
        <v>899</v>
      </c>
      <c r="AK6" s="205">
        <v>7050</v>
      </c>
      <c r="AL6" s="206">
        <v>0.05</v>
      </c>
      <c r="AM6" s="207">
        <f t="shared" ref="AM6:AM30" si="2">AK6/(1-AL6)</f>
        <v>7421.0526315789475</v>
      </c>
      <c r="AN6" s="208">
        <f>VLOOKUP(Power2025914[[#This Row],[ASABEtype]],$BC$6:$BM$52,4,FALSE)</f>
        <v>2000</v>
      </c>
      <c r="AO6" s="206"/>
      <c r="AP6" s="209">
        <f>VLOOKUP(Power2025914[[#This Row],[ASABEtype]],ASABECoefficients813[],4,FALSE)/Power2025914[[#This Row],[Use (hr/yr)]]*(1-Power2025914[[#This Row],[Life used (%)]])</f>
        <v>20</v>
      </c>
      <c r="AQ6" s="210">
        <v>100</v>
      </c>
      <c r="AR6" s="211">
        <v>1E-3</v>
      </c>
      <c r="AS6" s="212" t="s">
        <v>655</v>
      </c>
      <c r="AT6" s="210">
        <v>25</v>
      </c>
      <c r="AU6" s="213">
        <f>(VLOOKUP(Power2025914[[#This Row],[ASABEtype]],ASABECoefficients813[#Data],5)-VLOOKUP(Power2025914[[#This Row],[ASABEtype]],ASABECoefficients813[#Data],6)*MIN(Power2025914[[#This Row],[Lifespan (hours)]]/Power2025914[[#This Row],[Use (hr/yr)]],Power2025914[[#This Row],[Life (yr)]])^0.5-VLOOKUP(Power2025914[[#This Row],[ASABEtype]],ASABECoefficients813[#Data],7)*Power2025914[[#This Row],[Use (hr/yr)]]^0.5+VLOOKUP(Power2025914[[#This Row],[ASABEtype]],ASABECoefficients813[#Data],8)*$BP$17)^2+0.25*VLOOKUP(Power2025914[[#This Row],[ASABEtype]],ASABECoefficients813[#Data],9)</f>
        <v>3.2662171234372449E-2</v>
      </c>
      <c r="AV6" s="214">
        <f>Power2025914[[#This Row],[TradeIn%]]*Power2025914[[#This Row],[PriceL]]</f>
        <v>242.38769179192187</v>
      </c>
      <c r="AW6" s="215">
        <f>(Power2025914[[#This Row],[PriceP]]-Power2025914[[#This Row],[TradeIn$]])/Power2025914[[#This Row],[Life (yr)]]/Power2025914[[#This Row],[Use (hr/yr)]]</f>
        <v>3.4038061541040396</v>
      </c>
      <c r="AX6" s="216">
        <f>((Power2025914[[#This Row],[PriceP]]+Power2025914[[#This Row],[TradeIn$]])/2*($BP$7+$BP$8+$BP$9)+Power2025914[[#This Row],[Shed (ft^2)]]*$BP$12)/Power2025914[[#This Row],[Use (hr/yr)]]</f>
        <v>3.3357267074705259</v>
      </c>
      <c r="AY6" s="217">
        <f>Power2025914[[#This Row],[PriceL]]*(VLOOKUP(Power2025914[[#This Row],[ASABEtype]],ASABECoefficients813[#Data],2)*(Power2025914[[#This Row],[Life (yr)]]*Power2025914[[#This Row],[Use (hr/yr)]]/1000)^VLOOKUP(Power2025914[[#This Row],[ASABEtype]],ASABECoefficients813[#Data],3))/Power2025914[[#This Row],[Life (yr)]]/Power2025914[[#This Row],[Use (hr/yr)]]+Power2025914[[#This Row],[Fuel (gal/hr)]]*$BP$10*$BP$11*(10*Power2025914[[#This Row],[Life used (%)]])</f>
        <v>2.9835928325844043</v>
      </c>
      <c r="AZ6" s="218">
        <f>Power2025914[[#This Row],[Fuel (gal/hph)]]*Power2025914[[#This Row],[HP]]</f>
        <v>0.4</v>
      </c>
      <c r="BA6" s="215">
        <f t="shared" ref="BA6:BA30" si="3">SUM(AW6:AX6)</f>
        <v>6.7395328615745651</v>
      </c>
      <c r="BB6" s="164" t="s">
        <v>656</v>
      </c>
      <c r="BC6" s="152" t="s">
        <v>517</v>
      </c>
      <c r="BD6" s="219">
        <v>0.2</v>
      </c>
      <c r="BE6" s="219">
        <v>1.6</v>
      </c>
      <c r="BF6" s="219">
        <v>2000</v>
      </c>
      <c r="BG6" s="219">
        <v>0.85540000000000005</v>
      </c>
      <c r="BH6" s="219">
        <v>0.1177</v>
      </c>
      <c r="BI6" s="219">
        <v>0</v>
      </c>
      <c r="BJ6" s="219">
        <v>2.8999999999999998E-3</v>
      </c>
      <c r="BK6" s="149">
        <f t="shared" ref="BK6:BK44" si="4">BL6^2</f>
        <v>1.6230760000000004E-2</v>
      </c>
      <c r="BL6" s="219">
        <v>0.12740000000000001</v>
      </c>
      <c r="BM6" s="183"/>
      <c r="BO6" s="152" t="s">
        <v>518</v>
      </c>
      <c r="BP6" s="220">
        <f>'Input prices'!D8</f>
        <v>22.5</v>
      </c>
      <c r="BS6" s="144" t="s">
        <v>673</v>
      </c>
    </row>
    <row r="7" spans="1:71">
      <c r="A7" s="165"/>
      <c r="B7" s="144" t="str">
        <f>Implements712[[#This Row],[Implement type]]&amp;", "&amp;Implements712[[#This Row],[Width]]&amp;" "&amp;Implements712[[#This Row],[Width Unit]]</f>
        <v>Sprayer, hooded, 24 Ft Folding</v>
      </c>
      <c r="C7" s="170" t="s">
        <v>638</v>
      </c>
      <c r="D7" s="171">
        <v>24</v>
      </c>
      <c r="E7" s="170" t="s">
        <v>421</v>
      </c>
      <c r="F7" s="171"/>
      <c r="G7" s="170" t="s">
        <v>234</v>
      </c>
      <c r="H7" s="172">
        <v>46000</v>
      </c>
      <c r="I7" s="173">
        <v>0.1</v>
      </c>
      <c r="J7" s="174">
        <f t="shared" si="0"/>
        <v>51111.111111111109</v>
      </c>
      <c r="K7" s="198">
        <f>VLOOKUP(Implements712[[#This Row],[ASABEtype]],ASABECoefficients813[],4,FALSE)/Implements712[[#This Row],[Use (hr/yr)]]</f>
        <v>15</v>
      </c>
      <c r="L7" s="199">
        <v>100</v>
      </c>
      <c r="M7" s="176">
        <f>IF(Implements712[[#This Row],[Use basis]]="hour",,L7*(D7*P7*Q7)/8.25)</f>
        <v>1527.2727272727273</v>
      </c>
      <c r="N7" s="200" t="s">
        <v>654</v>
      </c>
      <c r="O7" s="171" t="s">
        <v>469</v>
      </c>
      <c r="P7" s="171">
        <v>7</v>
      </c>
      <c r="Q7" s="173">
        <v>0.75</v>
      </c>
      <c r="R7" s="173">
        <v>1.1000000000000001</v>
      </c>
      <c r="S7" s="171">
        <v>200</v>
      </c>
      <c r="T7"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0.4656071203012615</v>
      </c>
      <c r="U7" s="179">
        <f>Implements712[[#This Row],[TradeIn%]]*Implements712[[#This Row],[PriceL]]</f>
        <v>23797.697259842254</v>
      </c>
      <c r="V7" s="180">
        <f>(Implements712[[#This Row],[PriceP]]-Implements712[[#This Row],[TradeIn$]])/Implements712[[#This Row],[Life (yr)]]/Implements712[[#This Row],[Use (hr/yr)]]</f>
        <v>14.801535160105164</v>
      </c>
      <c r="W7" s="180">
        <f>((Implements712[[#This Row],[PriceP]]+Implements712[[#This Row],[TradeIn$]])/2*($BP$7+$BP$8+$BP$9)+Implements712[[#This Row],[Shed (ft^2)]]*$BP$12)/Implements712[[#This Row],[Use (hr/yr)]]</f>
        <v>31.613009821732167</v>
      </c>
      <c r="X7" s="180">
        <f>Implements712[[#This Row],[PriceL]]*(VLOOKUP(Implements712[[#This Row],[ASABEtype]],$BC$6:$BM$52,2)*(Implements712[[#This Row],[Life (yr)]]*Implements712[[#This Row],[Use (hr/yr)]]/1000)^VLOOKUP(Implements712[[#This Row],[ASABEtype]],$BC$6:$BM$52,3))/Implements712[[#This Row],[Life (yr)]]/Implements712[[#This Row],[Use (hr/yr)]]</f>
        <v>23.666092447462546</v>
      </c>
      <c r="Y7" s="180">
        <f>Implements712[[#This Row],[Depr ($/hr)]]+Implements712[[#This Row],[OH ($/hr)]]</f>
        <v>46.414544981837331</v>
      </c>
      <c r="Z7" s="180">
        <f>(Implements712[[#This Row],[PriceP]]-Implements712[[#This Row],[TradeIn$]])/Implements712[[#This Row],[Life (yr)]]/Implements712[[#This Row],[Use (ac/yr)]]</f>
        <v>0.96914813548307621</v>
      </c>
      <c r="AA7" s="201">
        <f>((Implements712[[#This Row],[PriceP]]+Implements712[[#This Row],[TradeIn$]])/2*($BP$7+$BP$8+$BP$9)+Implements712[[#This Row],[Shed (ft^2)]]*$BP$12)/Implements712[[#This Row],[Use (ac/yr)]]</f>
        <v>2.0698994526134156</v>
      </c>
      <c r="AB7"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1.5495655769171905</v>
      </c>
      <c r="AC7" s="182">
        <f>IF(Implements712[[#This Row],[Use basis]]="hour","-",$BP$18/(Implements712[[#This Row],[Width]]*Implements712[[#This Row],[Speed]]*Implements712[[#This Row],[Efficiency]]))</f>
        <v>6.5476190476190479E-2</v>
      </c>
      <c r="AD7" s="163">
        <f>IF(Implements712[[#This Row],[Use basis]]=$N$128,Implements712[[#This Row],[Ownership costs ($/hr)]],SUM(Implements712[[#This Row],[Depr ($/ac)2]:[OH ($/ac)]]))</f>
        <v>3.0390475880964916</v>
      </c>
      <c r="AE7" s="163"/>
      <c r="AF7" s="163" t="s">
        <v>644</v>
      </c>
      <c r="AG7" s="163"/>
      <c r="AH7" s="202" t="str">
        <f t="shared" si="1"/>
        <v>900 CC 4x4 UTV</v>
      </c>
      <c r="AI7" s="203">
        <v>900</v>
      </c>
      <c r="AJ7" s="204" t="s">
        <v>900</v>
      </c>
      <c r="AK7" s="205">
        <v>13800</v>
      </c>
      <c r="AL7" s="206">
        <v>0.05</v>
      </c>
      <c r="AM7" s="207">
        <f t="shared" si="2"/>
        <v>14526.315789473685</v>
      </c>
      <c r="AN7" s="208">
        <f>VLOOKUP(Power2025914[[#This Row],[ASABEtype]],$BC$6:$BM$52,4,FALSE)</f>
        <v>2000</v>
      </c>
      <c r="AO7" s="206"/>
      <c r="AP7" s="209">
        <f>VLOOKUP(Power2025914[[#This Row],[ASABEtype]],ASABECoefficients813[],4,FALSE)/Power2025914[[#This Row],[Use (hr/yr)]]*(1-Power2025914[[#This Row],[Life used (%)]])</f>
        <v>20</v>
      </c>
      <c r="AQ7" s="210">
        <v>100</v>
      </c>
      <c r="AR7" s="211">
        <v>1E-3</v>
      </c>
      <c r="AS7" s="212" t="s">
        <v>655</v>
      </c>
      <c r="AT7" s="210">
        <v>50</v>
      </c>
      <c r="AU7" s="213">
        <f>(VLOOKUP(Power2025914[[#This Row],[ASABEtype]],ASABECoefficients813[#Data],5)-VLOOKUP(Power2025914[[#This Row],[ASABEtype]],ASABECoefficients813[#Data],6)*MIN(Power2025914[[#This Row],[Lifespan (hours)]]/Power2025914[[#This Row],[Use (hr/yr)]],Power2025914[[#This Row],[Life (yr)]])^0.5-VLOOKUP(Power2025914[[#This Row],[ASABEtype]],ASABECoefficients813[#Data],7)*Power2025914[[#This Row],[Use (hr/yr)]]^0.5+VLOOKUP(Power2025914[[#This Row],[ASABEtype]],ASABECoefficients813[#Data],8)*$BP$17)^2+0.25*VLOOKUP(Power2025914[[#This Row],[ASABEtype]],ASABECoefficients813[#Data],9)</f>
        <v>3.2662171234372449E-2</v>
      </c>
      <c r="AV7" s="214">
        <f>Power2025914[[#This Row],[TradeIn%]]*Power2025914[[#This Row],[PriceL]]</f>
        <v>474.4610137203577</v>
      </c>
      <c r="AW7" s="215">
        <f>(Power2025914[[#This Row],[PriceP]]-Power2025914[[#This Row],[TradeIn$]])/Power2025914[[#This Row],[Life (yr)]]/Power2025914[[#This Row],[Use (hr/yr)]]</f>
        <v>6.6627694931398205</v>
      </c>
      <c r="AX7" s="216">
        <f>((Power2025914[[#This Row],[PriceP]]+Power2025914[[#This Row],[TradeIn$]])/2*($BP$7+$BP$8+$BP$9)+Power2025914[[#This Row],[Shed (ft^2)]]*$BP$12)/Power2025914[[#This Row],[Use (hr/yr)]]</f>
        <v>6.5380182358997532</v>
      </c>
      <c r="AY7" s="217">
        <f>Power2025914[[#This Row],[PriceL]]*(VLOOKUP(Power2025914[[#This Row],[ASABEtype]],ASABECoefficients813[#Data],2)*(Power2025914[[#This Row],[Life (yr)]]*Power2025914[[#This Row],[Use (hr/yr)]]/1000)^VLOOKUP(Power2025914[[#This Row],[ASABEtype]],ASABECoefficients813[#Data],3))/Power2025914[[#This Row],[Life (yr)]]/Power2025914[[#This Row],[Use (hr/yr)]]+Power2025914[[#This Row],[Fuel (gal/hr)]]*$BP$10*$BP$11*(10*Power2025914[[#This Row],[Life used (%)]])</f>
        <v>5.8402242680375567</v>
      </c>
      <c r="AZ7" s="218">
        <f>Power2025914[[#This Row],[Fuel (gal/hph)]]*Power2025914[[#This Row],[HP]]</f>
        <v>0.9</v>
      </c>
      <c r="BA7" s="215">
        <f t="shared" si="3"/>
        <v>13.200787729039574</v>
      </c>
      <c r="BB7" s="164" t="s">
        <v>656</v>
      </c>
      <c r="BC7" s="152" t="s">
        <v>524</v>
      </c>
      <c r="BD7" s="219">
        <v>0.2</v>
      </c>
      <c r="BE7" s="219">
        <v>1.6</v>
      </c>
      <c r="BF7" s="219">
        <v>2000</v>
      </c>
      <c r="BG7" s="219">
        <v>0.71940000000000004</v>
      </c>
      <c r="BH7" s="219">
        <v>0.11020000000000001</v>
      </c>
      <c r="BI7" s="219">
        <v>0</v>
      </c>
      <c r="BJ7" s="219">
        <v>3.0000000000000001E-3</v>
      </c>
      <c r="BK7" s="149">
        <f t="shared" si="4"/>
        <v>1.4713690000000001E-2</v>
      </c>
      <c r="BL7" s="219">
        <v>0.12130000000000001</v>
      </c>
      <c r="BM7" s="183"/>
      <c r="BO7" s="149" t="s">
        <v>525</v>
      </c>
      <c r="BP7" s="221">
        <f>'Input prices'!D10</f>
        <v>7.2499999999999995E-2</v>
      </c>
    </row>
    <row r="8" spans="1:71">
      <c r="A8" s="166"/>
      <c r="B8" s="144" t="str">
        <f>Implements712[[#This Row],[Implement type]]&amp;", "&amp;Implements712[[#This Row],[Width]]&amp;" "&amp;Implements712[[#This Row],[Width Unit]]</f>
        <v>Sprayer, hooded, 36 Ft Folding</v>
      </c>
      <c r="C8" s="170" t="s">
        <v>638</v>
      </c>
      <c r="D8" s="171">
        <v>36</v>
      </c>
      <c r="E8" s="170" t="s">
        <v>421</v>
      </c>
      <c r="F8" s="171"/>
      <c r="G8" s="170" t="s">
        <v>636</v>
      </c>
      <c r="H8" s="172">
        <v>54000</v>
      </c>
      <c r="I8" s="173">
        <v>0.1</v>
      </c>
      <c r="J8" s="174">
        <f t="shared" si="0"/>
        <v>60000</v>
      </c>
      <c r="K8" s="198">
        <f>VLOOKUP(Implements712[[#This Row],[ASABEtype]],ASABECoefficients813[],4,FALSE)/Implements712[[#This Row],[Use (hr/yr)]]</f>
        <v>15</v>
      </c>
      <c r="L8" s="199">
        <v>100</v>
      </c>
      <c r="M8" s="176">
        <f>IF(Implements712[[#This Row],[Use basis]]="hour",,L8*(D8*P8*Q8)/8.25)</f>
        <v>2290.909090909091</v>
      </c>
      <c r="N8" s="200" t="s">
        <v>654</v>
      </c>
      <c r="O8" s="171" t="s">
        <v>469</v>
      </c>
      <c r="P8" s="171">
        <v>7</v>
      </c>
      <c r="Q8" s="173">
        <v>0.75</v>
      </c>
      <c r="R8" s="173">
        <v>1.1000000000000001</v>
      </c>
      <c r="S8" s="171">
        <v>250</v>
      </c>
      <c r="T8"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0.4656071203012615</v>
      </c>
      <c r="U8" s="179">
        <f>Implements712[[#This Row],[TradeIn%]]*Implements712[[#This Row],[PriceL]]</f>
        <v>27936.427218075689</v>
      </c>
      <c r="V8" s="180">
        <f>(Implements712[[#This Row],[PriceP]]-Implements712[[#This Row],[TradeIn$]])/Implements712[[#This Row],[Life (yr)]]/Implements712[[#This Row],[Use (hr/yr)]]</f>
        <v>17.375715187949542</v>
      </c>
      <c r="W8" s="180">
        <f>((Implements712[[#This Row],[PriceP]]+Implements712[[#This Row],[TradeIn$]])/2*($BP$7+$BP$8+$BP$9)+Implements712[[#This Row],[Shed (ft^2)]]*$BP$12)/Implements712[[#This Row],[Use (hr/yr)]]</f>
        <v>37.232663703772545</v>
      </c>
      <c r="X8" s="180">
        <f>Implements712[[#This Row],[PriceL]]*(VLOOKUP(Implements712[[#This Row],[ASABEtype]],$BC$6:$BM$52,2)*(Implements712[[#This Row],[Life (yr)]]*Implements712[[#This Row],[Use (hr/yr)]]/1000)^VLOOKUP(Implements712[[#This Row],[ASABEtype]],$BC$6:$BM$52,3))/Implements712[[#This Row],[Life (yr)]]/Implements712[[#This Row],[Use (hr/yr)]]</f>
        <v>27.781934612238643</v>
      </c>
      <c r="Y8" s="180">
        <f>Implements712[[#This Row],[Depr ($/hr)]]+Implements712[[#This Row],[OH ($/hr)]]</f>
        <v>54.608378891722083</v>
      </c>
      <c r="Z8" s="180">
        <f>(Implements712[[#This Row],[PriceP]]-Implements712[[#This Row],[TradeIn$]])/Implements712[[#This Row],[Life (yr)]]/Implements712[[#This Row],[Use (ac/yr)]]</f>
        <v>0.75846375820414658</v>
      </c>
      <c r="AA8" s="201">
        <f>((Implements712[[#This Row],[PriceP]]+Implements712[[#This Row],[TradeIn$]])/2*($BP$7+$BP$8+$BP$9)+Implements712[[#This Row],[Shed (ft^2)]]*$BP$12)/Implements712[[#This Row],[Use (ac/yr)]]</f>
        <v>1.6252353204027699</v>
      </c>
      <c r="AB8"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1.2127034949786708</v>
      </c>
      <c r="AC8" s="182">
        <f>IF(Implements712[[#This Row],[Use basis]]="hour","-",$BP$18/(Implements712[[#This Row],[Width]]*Implements712[[#This Row],[Speed]]*Implements712[[#This Row],[Efficiency]]))</f>
        <v>4.3650793650793648E-2</v>
      </c>
      <c r="AD8" s="163">
        <f>IF(Implements712[[#This Row],[Use basis]]=$N$128,Implements712[[#This Row],[Ownership costs ($/hr)]],SUM(Implements712[[#This Row],[Depr ($/ac)2]:[OH ($/ac)]]))</f>
        <v>2.3836990786069165</v>
      </c>
      <c r="AE8" s="163"/>
      <c r="AF8" s="163" t="s">
        <v>644</v>
      </c>
      <c r="AG8" s="163"/>
      <c r="AH8" s="202" t="str">
        <f t="shared" si="1"/>
        <v>1 Ton 4x4 Pickup</v>
      </c>
      <c r="AI8" s="190">
        <v>1</v>
      </c>
      <c r="AJ8" s="204" t="s">
        <v>657</v>
      </c>
      <c r="AK8" s="205">
        <v>51000</v>
      </c>
      <c r="AL8" s="206">
        <v>0.1</v>
      </c>
      <c r="AM8" s="207">
        <f t="shared" si="2"/>
        <v>56666.666666666664</v>
      </c>
      <c r="AN8" s="208">
        <f>VLOOKUP(Power2025914[[#This Row],[ASABEtype]],$BC$6:$BM$52,4,FALSE)</f>
        <v>7500</v>
      </c>
      <c r="AO8" s="206"/>
      <c r="AP8" s="209">
        <f>VLOOKUP(Power2025914[[#This Row],[ASABEtype]],ASABECoefficients813[],4,FALSE)/Power2025914[[#This Row],[Use (hr/yr)]]*(1-Power2025914[[#This Row],[Life used (%)]])</f>
        <v>37.5</v>
      </c>
      <c r="AQ8" s="210">
        <v>200</v>
      </c>
      <c r="AR8" s="211">
        <v>3</v>
      </c>
      <c r="AS8" s="212" t="s">
        <v>658</v>
      </c>
      <c r="AT8" s="210">
        <v>180</v>
      </c>
      <c r="AU8" s="213">
        <f>(VLOOKUP(Power2025914[[#This Row],[ASABEtype]],ASABECoefficients813[#Data],5)-VLOOKUP(Power2025914[[#This Row],[ASABEtype]],ASABECoefficients813[#Data],6)*MIN(Power2025914[[#This Row],[Lifespan (hours)]]/Power2025914[[#This Row],[Use (hr/yr)]],Power2025914[[#This Row],[Life (yr)]])^0.5-VLOOKUP(Power2025914[[#This Row],[ASABEtype]],ASABECoefficients813[#Data],7)*Power2025914[[#This Row],[Use (hr/yr)]]^0.5+VLOOKUP(Power2025914[[#This Row],[ASABEtype]],ASABECoefficients813[#Data],8)*$BP$17)^2+0.25*VLOOKUP(Power2025914[[#This Row],[ASABEtype]],ASABECoefficients813[#Data],9)</f>
        <v>0.29547477831140623</v>
      </c>
      <c r="AV8" s="214">
        <f>Power2025914[[#This Row],[TradeIn%]]*Power2025914[[#This Row],[PriceL]]</f>
        <v>16743.570770979684</v>
      </c>
      <c r="AW8" s="215">
        <f>(Power2025914[[#This Row],[PriceP]]-Power2025914[[#This Row],[TradeIn$]])/Power2025914[[#This Row],[Life (yr)]]/Power2025914[[#This Row],[Use (hr/yr)]]</f>
        <v>4.5675238972027081</v>
      </c>
      <c r="AX8" s="216">
        <f>((Power2025914[[#This Row],[PriceP]]+Power2025914[[#This Row],[TradeIn$]])/2*($BP$7+$BP$8+$BP$9)+Power2025914[[#This Row],[Shed (ft^2)]]*$BP$12)/Power2025914[[#This Row],[Use (hr/yr)]]</f>
        <v>15.284867715760631</v>
      </c>
      <c r="AY8" s="217">
        <f>Power2025914[[#This Row],[PriceL]]*(VLOOKUP(Power2025914[[#This Row],[ASABEtype]],ASABECoefficients813[#Data],2)*(Power2025914[[#This Row],[Life (yr)]]*Power2025914[[#This Row],[Use (hr/yr)]]/1000)^VLOOKUP(Power2025914[[#This Row],[ASABEtype]],ASABECoefficients813[#Data],3))/Power2025914[[#This Row],[Life (yr)]]/Power2025914[[#This Row],[Use (hr/yr)]]+Power2025914[[#This Row],[Fuel (gal/hr)]]*$BP$10*$BP$11*(10*Power2025914[[#This Row],[Life used (%)]])</f>
        <v>17</v>
      </c>
      <c r="AZ8" s="218">
        <f>Power2025914[[#This Row],[Fuel (gal/hph)]]*Power2025914[[#This Row],[HP]]</f>
        <v>3</v>
      </c>
      <c r="BA8" s="215">
        <f t="shared" si="3"/>
        <v>19.852391612963338</v>
      </c>
      <c r="BB8" s="164" t="s">
        <v>659</v>
      </c>
      <c r="BC8" s="152" t="s">
        <v>428</v>
      </c>
      <c r="BD8" s="219">
        <v>0.28000000000000003</v>
      </c>
      <c r="BE8" s="219">
        <v>1.4</v>
      </c>
      <c r="BF8" s="219">
        <v>1200</v>
      </c>
      <c r="BG8" s="219">
        <v>0.71940000000000004</v>
      </c>
      <c r="BH8" s="219">
        <v>0.11020000000000001</v>
      </c>
      <c r="BI8" s="219">
        <v>0</v>
      </c>
      <c r="BJ8" s="219">
        <v>3.0000000000000001E-3</v>
      </c>
      <c r="BK8" s="149">
        <f t="shared" si="4"/>
        <v>1.4713690000000001E-2</v>
      </c>
      <c r="BL8" s="219">
        <v>0.12130000000000001</v>
      </c>
      <c r="BM8" s="183"/>
      <c r="BO8" s="152" t="s">
        <v>526</v>
      </c>
      <c r="BP8" s="222">
        <v>8.5000000000000006E-3</v>
      </c>
    </row>
    <row r="9" spans="1:71">
      <c r="A9" s="166"/>
      <c r="B9" s="144" t="str">
        <f>Implements712[[#This Row],[Implement type]]&amp;", "&amp;Implements712[[#This Row],[Width]]&amp;" "&amp;Implements712[[#This Row],[Width Unit]]</f>
        <v>Sprayer, lay-by, 18 Ft Folding</v>
      </c>
      <c r="C9" s="170" t="s">
        <v>639</v>
      </c>
      <c r="D9" s="171">
        <v>18</v>
      </c>
      <c r="E9" s="170" t="s">
        <v>421</v>
      </c>
      <c r="F9" s="171"/>
      <c r="G9" s="170" t="s">
        <v>212</v>
      </c>
      <c r="H9" s="172">
        <v>44000</v>
      </c>
      <c r="I9" s="173">
        <v>0.1</v>
      </c>
      <c r="J9" s="174">
        <f t="shared" si="0"/>
        <v>48888.888888888891</v>
      </c>
      <c r="K9" s="198">
        <f>VLOOKUP(Implements712[[#This Row],[ASABEtype]],ASABECoefficients813[],4,FALSE)/Implements712[[#This Row],[Use (hr/yr)]]</f>
        <v>15</v>
      </c>
      <c r="L9" s="199">
        <v>100</v>
      </c>
      <c r="M9" s="176">
        <f>IF(Implements712[[#This Row],[Use basis]]="hour",,L9*(D9*P9*Q9)/8.25)</f>
        <v>654.5454545454545</v>
      </c>
      <c r="N9" s="200" t="s">
        <v>654</v>
      </c>
      <c r="O9" s="171" t="s">
        <v>469</v>
      </c>
      <c r="P9" s="171">
        <v>4</v>
      </c>
      <c r="Q9" s="173">
        <v>0.75</v>
      </c>
      <c r="R9" s="173">
        <v>1.1000000000000001</v>
      </c>
      <c r="S9" s="171">
        <v>150</v>
      </c>
      <c r="T9"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0.4656071203012615</v>
      </c>
      <c r="U9" s="179">
        <f>Implements712[[#This Row],[TradeIn%]]*Implements712[[#This Row],[PriceL]]</f>
        <v>22763.014770283895</v>
      </c>
      <c r="V9" s="180">
        <f>(Implements712[[#This Row],[PriceP]]-Implements712[[#This Row],[TradeIn$]])/Implements712[[#This Row],[Life (yr)]]/Implements712[[#This Row],[Use (hr/yr)]]</f>
        <v>14.15799015314407</v>
      </c>
      <c r="W9" s="180">
        <f>((Implements712[[#This Row],[PriceP]]+Implements712[[#This Row],[TradeIn$]])/2*($BP$7+$BP$8+$BP$9)+Implements712[[#This Row],[Shed (ft^2)]]*$BP$12)/Implements712[[#This Row],[Use (hr/yr)]]</f>
        <v>29.908096351222071</v>
      </c>
      <c r="X9" s="180">
        <f>Implements712[[#This Row],[PriceL]]*(VLOOKUP(Implements712[[#This Row],[ASABEtype]],$BC$6:$BM$52,2)*(Implements712[[#This Row],[Life (yr)]]*Implements712[[#This Row],[Use (hr/yr)]]/1000)^VLOOKUP(Implements712[[#This Row],[ASABEtype]],$BC$6:$BM$52,3))/Implements712[[#This Row],[Life (yr)]]/Implements712[[#This Row],[Use (hr/yr)]]</f>
        <v>22.637131906268529</v>
      </c>
      <c r="Y9" s="180">
        <f>Implements712[[#This Row],[Depr ($/hr)]]+Implements712[[#This Row],[OH ($/hr)]]</f>
        <v>44.06608650436614</v>
      </c>
      <c r="Z9" s="180">
        <f>(Implements712[[#This Row],[PriceP]]-Implements712[[#This Row],[TradeIn$]])/Implements712[[#This Row],[Life (yr)]]/Implements712[[#This Row],[Use (ac/yr)]]</f>
        <v>2.1630262733970107</v>
      </c>
      <c r="AA9" s="201">
        <f>((Implements712[[#This Row],[PriceP]]+Implements712[[#This Row],[TradeIn$]])/2*($BP$7+$BP$8+$BP$9)+Implements712[[#This Row],[Shed (ft^2)]]*$BP$12)/Implements712[[#This Row],[Use (ac/yr)]]</f>
        <v>4.5692924981033718</v>
      </c>
      <c r="AB9"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3.4584507079021365</v>
      </c>
      <c r="AC9" s="182">
        <f>IF(Implements712[[#This Row],[Use basis]]="hour","-",$BP$18/(Implements712[[#This Row],[Width]]*Implements712[[#This Row],[Speed]]*Implements712[[#This Row],[Efficiency]]))</f>
        <v>0.15277777777777779</v>
      </c>
      <c r="AD9" s="163">
        <f>IF(Implements712[[#This Row],[Use basis]]=$N$128,Implements712[[#This Row],[Ownership costs ($/hr)]],SUM(Implements712[[#This Row],[Depr ($/ac)2]:[OH ($/ac)]]))</f>
        <v>6.7323187715003829</v>
      </c>
      <c r="AE9" s="163"/>
      <c r="AF9" s="163" t="s">
        <v>644</v>
      </c>
      <c r="AG9" s="163"/>
      <c r="AH9" s="202" t="str">
        <f>CONCATENATE(AI9&amp;" "&amp;AJ9)</f>
        <v>2 Ton Flatbed truck</v>
      </c>
      <c r="AI9" s="190">
        <v>2</v>
      </c>
      <c r="AJ9" s="204" t="s">
        <v>813</v>
      </c>
      <c r="AK9" s="205">
        <v>7500</v>
      </c>
      <c r="AL9" s="206">
        <v>0</v>
      </c>
      <c r="AM9" s="207">
        <f>AK9/(1-AL9)</f>
        <v>7500</v>
      </c>
      <c r="AN9" s="208">
        <f>VLOOKUP(Power2025914[[#This Row],[ASABEtype]],$BC$6:$BM$52,4,FALSE)</f>
        <v>7500</v>
      </c>
      <c r="AO9" s="206">
        <v>0.8</v>
      </c>
      <c r="AP9" s="209">
        <f>VLOOKUP(Power2025914[[#This Row],[ASABEtype]],ASABECoefficients813[],4,FALSE)/Power2025914[[#This Row],[Use (hr/yr)]]*(1-Power2025914[[#This Row],[Life used (%)]])</f>
        <v>14.999999999999996</v>
      </c>
      <c r="AQ9" s="210">
        <v>100</v>
      </c>
      <c r="AR9" s="211">
        <v>2</v>
      </c>
      <c r="AS9" s="212" t="s">
        <v>658</v>
      </c>
      <c r="AT9" s="210">
        <v>200</v>
      </c>
      <c r="AU9" s="213">
        <f>(VLOOKUP(Power2025914[[#This Row],[ASABEtype]],ASABECoefficients813[#Data],5)-VLOOKUP(Power2025914[[#This Row],[ASABEtype]],ASABECoefficients813[#Data],6)*MIN(Power2025914[[#This Row],[Lifespan (hours)]]/Power2025914[[#This Row],[Use (hr/yr)]],Power2025914[[#This Row],[Life (yr)]])^0.5-VLOOKUP(Power2025914[[#This Row],[ASABEtype]],ASABECoefficients813[#Data],7)*Power2025914[[#This Row],[Use (hr/yr)]]^0.5+VLOOKUP(Power2025914[[#This Row],[ASABEtype]],ASABECoefficients813[#Data],8)*$BP$17)^2+0.25*VLOOKUP(Power2025914[[#This Row],[ASABEtype]],ASABECoefficients813[#Data],9)</f>
        <v>0.61565229398433219</v>
      </c>
      <c r="AV9" s="214">
        <f>Power2025914[[#This Row],[TradeIn%]]*Power2025914[[#This Row],[PriceL]]</f>
        <v>4617.3922048824916</v>
      </c>
      <c r="AW9" s="215">
        <f>(Power2025914[[#This Row],[PriceP]]-Power2025914[[#This Row],[TradeIn$]])/Power2025914[[#This Row],[Life (yr)]]/Power2025914[[#This Row],[Use (hr/yr)]]</f>
        <v>1.9217385300783394</v>
      </c>
      <c r="AX9" s="216">
        <f>((Power2025914[[#This Row],[PriceP]]+Power2025914[[#This Row],[TradeIn$]])/2*($BP$7+$BP$8+$BP$9)+Power2025914[[#This Row],[Shed (ft^2)]]*$BP$12)/Power2025914[[#This Row],[Use (hr/yr)]]</f>
        <v>6.8104786480994708</v>
      </c>
      <c r="AY9" s="217">
        <f>Power2025914[[#This Row],[PriceL]]*(VLOOKUP(Power2025914[[#This Row],[ASABEtype]],ASABECoefficients813[#Data],2)*(Power2025914[[#This Row],[Life (yr)]]*Power2025914[[#This Row],[Use (hr/yr)]]/1000)^VLOOKUP(Power2025914[[#This Row],[ASABEtype]],ASABECoefficients813[#Data],3))/Power2025914[[#This Row],[Life (yr)]]/Power2025914[[#This Row],[Use (hr/yr)]]+Power2025914[[#This Row],[Fuel (gal/hr)]]*$BP$10*$BP$11*(10*Power2025914[[#This Row],[Life used (%)]])</f>
        <v>9.7299999999999986</v>
      </c>
      <c r="AZ9" s="218">
        <f>Power2025914[[#This Row],[Fuel (gal/hph)]]*Power2025914[[#This Row],[HP]]</f>
        <v>4</v>
      </c>
      <c r="BA9" s="215">
        <f>SUM(AW9:AX9)</f>
        <v>8.7322171781778106</v>
      </c>
      <c r="BB9" s="164" t="s">
        <v>814</v>
      </c>
      <c r="BC9" s="152" t="s">
        <v>469</v>
      </c>
      <c r="BD9" s="219">
        <v>0.41</v>
      </c>
      <c r="BE9" s="219">
        <v>1.3</v>
      </c>
      <c r="BF9" s="219">
        <v>1500</v>
      </c>
      <c r="BG9" s="219">
        <v>0.85540000000000005</v>
      </c>
      <c r="BH9" s="219">
        <v>0.1177</v>
      </c>
      <c r="BI9" s="219">
        <v>0</v>
      </c>
      <c r="BJ9" s="219">
        <v>2.8999999999999998E-3</v>
      </c>
      <c r="BK9" s="149">
        <f t="shared" si="4"/>
        <v>1.6230760000000004E-2</v>
      </c>
      <c r="BL9" s="219">
        <v>0.12740000000000001</v>
      </c>
      <c r="BM9" s="183"/>
      <c r="BO9" s="152" t="s">
        <v>527</v>
      </c>
      <c r="BP9" s="223">
        <v>5.0000000000000001E-3</v>
      </c>
    </row>
    <row r="10" spans="1:71" ht="31.5">
      <c r="A10" s="166"/>
      <c r="B10" s="144" t="str">
        <f>Implements712[[#This Row],[Implement type]]&amp;", "&amp;Implements712[[#This Row],[Width]]&amp;" "&amp;Implements712[[#This Row],[Width Unit]]</f>
        <v>Sprayer, lay-by, 24 Ft Folding</v>
      </c>
      <c r="C10" s="170" t="s">
        <v>639</v>
      </c>
      <c r="D10" s="171">
        <v>24</v>
      </c>
      <c r="E10" s="170" t="s">
        <v>421</v>
      </c>
      <c r="F10" s="171"/>
      <c r="G10" s="170" t="s">
        <v>234</v>
      </c>
      <c r="H10" s="172">
        <v>53250</v>
      </c>
      <c r="I10" s="173">
        <v>0.1</v>
      </c>
      <c r="J10" s="174">
        <f t="shared" si="0"/>
        <v>59166.666666666664</v>
      </c>
      <c r="K10" s="198">
        <f>VLOOKUP(Implements712[[#This Row],[ASABEtype]],ASABECoefficients813[],4,FALSE)/Implements712[[#This Row],[Use (hr/yr)]]</f>
        <v>15</v>
      </c>
      <c r="L10" s="199">
        <v>100</v>
      </c>
      <c r="M10" s="176">
        <f>IF(Implements712[[#This Row],[Use basis]]="hour",,L10*(D10*P10*Q10)/8.25)</f>
        <v>872.72727272727275</v>
      </c>
      <c r="N10" s="200" t="s">
        <v>654</v>
      </c>
      <c r="O10" s="171" t="s">
        <v>469</v>
      </c>
      <c r="P10" s="171">
        <v>4</v>
      </c>
      <c r="Q10" s="173">
        <v>0.75</v>
      </c>
      <c r="R10" s="173">
        <v>1.1000000000000001</v>
      </c>
      <c r="S10" s="171">
        <v>200</v>
      </c>
      <c r="T10"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0.4656071203012615</v>
      </c>
      <c r="U10" s="179">
        <f>Implements712[[#This Row],[TradeIn%]]*Implements712[[#This Row],[PriceL]]</f>
        <v>27548.421284491305</v>
      </c>
      <c r="V10" s="180">
        <f>(Implements712[[#This Row],[PriceP]]-Implements712[[#This Row],[TradeIn$]])/Implements712[[#This Row],[Life (yr)]]/Implements712[[#This Row],[Use (hr/yr)]]</f>
        <v>17.134385810339129</v>
      </c>
      <c r="W10" s="180">
        <f>((Implements712[[#This Row],[PriceP]]+Implements712[[#This Row],[TradeIn$]])/2*($BP$7+$BP$8+$BP$9)+Implements712[[#This Row],[Shed (ft^2)]]*$BP$12)/Implements712[[#This Row],[Use (hr/yr)]]</f>
        <v>36.343321152331264</v>
      </c>
      <c r="X10" s="180">
        <f>Implements712[[#This Row],[PriceL]]*(VLOOKUP(Implements712[[#This Row],[ASABEtype]],$BC$6:$BM$52,2)*(Implements712[[#This Row],[Life (yr)]]*Implements712[[#This Row],[Use (hr/yr)]]/1000)^VLOOKUP(Implements712[[#This Row],[ASABEtype]],$BC$6:$BM$52,3))/Implements712[[#This Row],[Life (yr)]]/Implements712[[#This Row],[Use (hr/yr)]]</f>
        <v>27.396074409290883</v>
      </c>
      <c r="Y10" s="180">
        <f>Implements712[[#This Row],[Depr ($/hr)]]+Implements712[[#This Row],[OH ($/hr)]]</f>
        <v>53.477706962670396</v>
      </c>
      <c r="Z10" s="180">
        <f>(Implements712[[#This Row],[PriceP]]-Implements712[[#This Row],[TradeIn$]])/Implements712[[#This Row],[Life (yr)]]/Implements712[[#This Row],[Use (ac/yr)]]</f>
        <v>1.9633150407680251</v>
      </c>
      <c r="AA10" s="201">
        <f>((Implements712[[#This Row],[PriceP]]+Implements712[[#This Row],[TradeIn$]])/2*($BP$7+$BP$8+$BP$9)+Implements712[[#This Row],[Shed (ft^2)]]*$BP$12)/Implements712[[#This Row],[Use (ac/yr)]]</f>
        <v>4.1643388820379572</v>
      </c>
      <c r="AB10"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3.1391335260645801</v>
      </c>
      <c r="AC10" s="182">
        <f>IF(Implements712[[#This Row],[Use basis]]="hour","-",$BP$18/(Implements712[[#This Row],[Width]]*Implements712[[#This Row],[Speed]]*Implements712[[#This Row],[Efficiency]]))</f>
        <v>0.11458333333333333</v>
      </c>
      <c r="AD10" s="163">
        <f>IF(Implements712[[#This Row],[Use basis]]=$N$128,Implements712[[#This Row],[Ownership costs ($/hr)]],SUM(Implements712[[#This Row],[Depr ($/ac)2]:[OH ($/ac)]]))</f>
        <v>6.1276539228059823</v>
      </c>
      <c r="AE10" s="163"/>
      <c r="AF10" s="163" t="s">
        <v>644</v>
      </c>
      <c r="AG10" s="163"/>
      <c r="AH10" s="202" t="str">
        <f t="shared" si="1"/>
        <v>325 HP Tandem grain truck</v>
      </c>
      <c r="AI10" s="203">
        <v>325</v>
      </c>
      <c r="AJ10" s="204" t="s">
        <v>660</v>
      </c>
      <c r="AK10" s="205">
        <v>55800</v>
      </c>
      <c r="AL10" s="206">
        <v>0.1</v>
      </c>
      <c r="AM10" s="207">
        <f t="shared" si="2"/>
        <v>62000</v>
      </c>
      <c r="AN10" s="208">
        <f>VLOOKUP(Power2025914[[#This Row],[ASABEtype]],$BC$6:$BM$52,4,FALSE)</f>
        <v>12000</v>
      </c>
      <c r="AO10" s="206">
        <v>0.4</v>
      </c>
      <c r="AP10" s="209">
        <f>VLOOKUP(Power2025914[[#This Row],[ASABEtype]],ASABECoefficients813[],4,FALSE)/Power2025914[[#This Row],[Use (hr/yr)]]*(1-Power2025914[[#This Row],[Life used (%)]])</f>
        <v>18</v>
      </c>
      <c r="AQ10" s="210">
        <v>400</v>
      </c>
      <c r="AR10" s="211">
        <v>1.4999999999999999E-2</v>
      </c>
      <c r="AS10" s="212" t="s">
        <v>661</v>
      </c>
      <c r="AT10" s="210">
        <v>225</v>
      </c>
      <c r="AU10" s="213">
        <f>(VLOOKUP(Power2025914[[#This Row],[ASABEtype]],ASABECoefficients813[#Data],5)-VLOOKUP(Power2025914[[#This Row],[ASABEtype]],ASABECoefficients813[#Data],6)*MIN(Power2025914[[#This Row],[Lifespan (hours)]]/Power2025914[[#This Row],[Use (hr/yr)]],Power2025914[[#This Row],[Life (yr)]])^0.5-VLOOKUP(Power2025914[[#This Row],[ASABEtype]],ASABECoefficients813[#Data],7)*Power2025914[[#This Row],[Use (hr/yr)]]^0.5+VLOOKUP(Power2025914[[#This Row],[ASABEtype]],ASABECoefficients813[#Data],8)*$BP$17)^2+0.25*VLOOKUP(Power2025914[[#This Row],[ASABEtype]],ASABECoefficients813[#Data],9)</f>
        <v>0.51690082596189402</v>
      </c>
      <c r="AV10" s="214">
        <f>Power2025914[[#This Row],[TradeIn%]]*Power2025914[[#This Row],[PriceL]]</f>
        <v>32047.851209637429</v>
      </c>
      <c r="AW10" s="215">
        <f>(Power2025914[[#This Row],[PriceP]]-Power2025914[[#This Row],[TradeIn$]])/Power2025914[[#This Row],[Life (yr)]]/Power2025914[[#This Row],[Use (hr/yr)]]</f>
        <v>3.2989095542170235</v>
      </c>
      <c r="AX10" s="216">
        <f>((Power2025914[[#This Row],[PriceP]]+Power2025914[[#This Row],[TradeIn$]])/2*($BP$7+$BP$8+$BP$9)+Power2025914[[#This Row],[Shed (ft^2)]]*$BP$12)/Power2025914[[#This Row],[Use (hr/yr)]]</f>
        <v>9.8936440050360233</v>
      </c>
      <c r="AY10" s="217">
        <f>Power2025914[[#This Row],[PriceL]]*(VLOOKUP(Power2025914[[#This Row],[ASABEtype]],ASABECoefficients813[#Data],2)*(Power2025914[[#This Row],[Life (yr)]]*Power2025914[[#This Row],[Use (hr/yr)]]/1000)^VLOOKUP(Power2025914[[#This Row],[ASABEtype]],ASABECoefficients813[#Data],3))/Power2025914[[#This Row],[Life (yr)]]/Power2025914[[#This Row],[Use (hr/yr)]]+Power2025914[[#This Row],[Fuel (gal/hr)]]*$BP$10*$BP$11*(10*Power2025914[[#This Row],[Life used (%)]])</f>
        <v>7.8870000000000005</v>
      </c>
      <c r="AZ10" s="218">
        <f>Power2025914[[#This Row],[Fuel (gal/hph)]]*Power2025914[[#This Row],[HP]]</f>
        <v>4.875</v>
      </c>
      <c r="BA10" s="215">
        <f t="shared" si="3"/>
        <v>13.192553559253046</v>
      </c>
      <c r="BB10" s="164" t="s">
        <v>662</v>
      </c>
      <c r="BC10" s="152" t="s">
        <v>414</v>
      </c>
      <c r="BD10" s="219">
        <v>0.28000000000000003</v>
      </c>
      <c r="BE10" s="219">
        <v>1.4</v>
      </c>
      <c r="BF10" s="219">
        <v>2000</v>
      </c>
      <c r="BG10" s="219">
        <v>0.69269999999999998</v>
      </c>
      <c r="BH10" s="219">
        <v>7.0300000000000001E-2</v>
      </c>
      <c r="BI10" s="219">
        <v>0</v>
      </c>
      <c r="BJ10" s="219">
        <v>1.1999999999999999E-3</v>
      </c>
      <c r="BK10" s="149">
        <f t="shared" si="4"/>
        <v>1.4957290000000002E-2</v>
      </c>
      <c r="BL10" s="219">
        <v>0.12230000000000001</v>
      </c>
      <c r="BM10" s="183"/>
      <c r="BO10" s="152" t="s">
        <v>528</v>
      </c>
      <c r="BP10" s="224">
        <f>'Input prices'!D9</f>
        <v>2.9</v>
      </c>
      <c r="BS10" s="144" t="s">
        <v>673</v>
      </c>
    </row>
    <row r="11" spans="1:71">
      <c r="A11" s="166"/>
      <c r="B11" s="144" t="str">
        <f>Implements712[[#This Row],[Implement type]]&amp;", "&amp;Implements712[[#This Row],[Width]]&amp;" "&amp;Implements712[[#This Row],[Width Unit]]</f>
        <v>Sprayer, lay-by, 36 Ft Folding</v>
      </c>
      <c r="C11" s="170" t="s">
        <v>639</v>
      </c>
      <c r="D11" s="171">
        <v>36</v>
      </c>
      <c r="E11" s="170" t="s">
        <v>421</v>
      </c>
      <c r="F11" s="171"/>
      <c r="G11" s="170" t="s">
        <v>636</v>
      </c>
      <c r="H11" s="172">
        <v>60750</v>
      </c>
      <c r="I11" s="173">
        <v>0.1</v>
      </c>
      <c r="J11" s="174">
        <f t="shared" si="0"/>
        <v>67500</v>
      </c>
      <c r="K11" s="198">
        <f>VLOOKUP(Implements712[[#This Row],[ASABEtype]],ASABECoefficients813[],4,FALSE)/Implements712[[#This Row],[Use (hr/yr)]]</f>
        <v>15</v>
      </c>
      <c r="L11" s="199">
        <v>100</v>
      </c>
      <c r="M11" s="176">
        <f>IF(Implements712[[#This Row],[Use basis]]="hour",,L11*(D11*P11*Q11)/8.25)</f>
        <v>1309.090909090909</v>
      </c>
      <c r="N11" s="200" t="s">
        <v>654</v>
      </c>
      <c r="O11" s="171" t="s">
        <v>469</v>
      </c>
      <c r="P11" s="171">
        <v>4</v>
      </c>
      <c r="Q11" s="173">
        <v>0.75</v>
      </c>
      <c r="R11" s="173">
        <v>1.1000000000000001</v>
      </c>
      <c r="S11" s="171">
        <v>250</v>
      </c>
      <c r="T11"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0.4656071203012615</v>
      </c>
      <c r="U11" s="179">
        <f>Implements712[[#This Row],[TradeIn%]]*Implements712[[#This Row],[PriceL]]</f>
        <v>31428.480620335151</v>
      </c>
      <c r="V11" s="180">
        <f>(Implements712[[#This Row],[PriceP]]-Implements712[[#This Row],[TradeIn$]])/Implements712[[#This Row],[Life (yr)]]/Implements712[[#This Row],[Use (hr/yr)]]</f>
        <v>19.547679586443234</v>
      </c>
      <c r="W11" s="180">
        <f>((Implements712[[#This Row],[PriceP]]+Implements712[[#This Row],[TradeIn$]])/2*($BP$7+$BP$8+$BP$9)+Implements712[[#This Row],[Shed (ft^2)]]*$BP$12)/Implements712[[#This Row],[Use (hr/yr)]]</f>
        <v>41.636746666744109</v>
      </c>
      <c r="X11" s="180">
        <f>Implements712[[#This Row],[PriceL]]*(VLOOKUP(Implements712[[#This Row],[ASABEtype]],$BC$6:$BM$52,2)*(Implements712[[#This Row],[Life (yr)]]*Implements712[[#This Row],[Use (hr/yr)]]/1000)^VLOOKUP(Implements712[[#This Row],[ASABEtype]],$BC$6:$BM$52,3))/Implements712[[#This Row],[Life (yr)]]/Implements712[[#This Row],[Use (hr/yr)]]</f>
        <v>31.25467643876847</v>
      </c>
      <c r="Y11" s="180">
        <f>Implements712[[#This Row],[Depr ($/hr)]]+Implements712[[#This Row],[OH ($/hr)]]</f>
        <v>61.18442625318734</v>
      </c>
      <c r="Z11" s="180">
        <f>(Implements712[[#This Row],[PriceP]]-Implements712[[#This Row],[TradeIn$]])/Implements712[[#This Row],[Life (yr)]]/Implements712[[#This Row],[Use (ac/yr)]]</f>
        <v>1.4932255239644137</v>
      </c>
      <c r="AA11" s="201">
        <f>((Implements712[[#This Row],[PriceP]]+Implements712[[#This Row],[TradeIn$]])/2*($BP$7+$BP$8+$BP$9)+Implements712[[#This Row],[Shed (ft^2)]]*$BP$12)/Implements712[[#This Row],[Use (ac/yr)]]</f>
        <v>3.180584814820731</v>
      </c>
      <c r="AB11"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2.3875100057392582</v>
      </c>
      <c r="AC11" s="182">
        <f>IF(Implements712[[#This Row],[Use basis]]="hour","-",$BP$18/(Implements712[[#This Row],[Width]]*Implements712[[#This Row],[Speed]]*Implements712[[#This Row],[Efficiency]]))</f>
        <v>7.6388888888888895E-2</v>
      </c>
      <c r="AD11" s="163">
        <f>IF(Implements712[[#This Row],[Use basis]]=$N$128,Implements712[[#This Row],[Ownership costs ($/hr)]],SUM(Implements712[[#This Row],[Depr ($/ac)2]:[OH ($/ac)]]))</f>
        <v>4.6738103387851444</v>
      </c>
      <c r="AE11" s="163"/>
      <c r="AF11" s="163" t="s">
        <v>644</v>
      </c>
      <c r="AG11" s="163"/>
      <c r="AH11" s="202" t="str">
        <f t="shared" si="1"/>
        <v>475 HP Semi truck</v>
      </c>
      <c r="AI11" s="203">
        <v>475</v>
      </c>
      <c r="AJ11" s="204" t="s">
        <v>815</v>
      </c>
      <c r="AK11" s="205">
        <v>40500</v>
      </c>
      <c r="AL11" s="206">
        <v>0.1</v>
      </c>
      <c r="AM11" s="207">
        <f t="shared" si="2"/>
        <v>45000</v>
      </c>
      <c r="AN11" s="208">
        <f>VLOOKUP(Power2025914[[#This Row],[ASABEtype]],$BC$6:$BM$52,4,FALSE)</f>
        <v>12000</v>
      </c>
      <c r="AO11" s="206">
        <v>0.4</v>
      </c>
      <c r="AP11" s="209">
        <f>VLOOKUP(Power2025914[[#This Row],[ASABEtype]],ASABECoefficients813[],4,FALSE)/Power2025914[[#This Row],[Use (hr/yr)]]*(1-Power2025914[[#This Row],[Life used (%)]])</f>
        <v>18</v>
      </c>
      <c r="AQ11" s="210">
        <v>400</v>
      </c>
      <c r="AR11" s="211">
        <v>1.4999999999999999E-2</v>
      </c>
      <c r="AS11" s="212" t="s">
        <v>661</v>
      </c>
      <c r="AT11" s="210">
        <v>200</v>
      </c>
      <c r="AU11" s="213">
        <f>(VLOOKUP(Power2025914[[#This Row],[ASABEtype]],ASABECoefficients813[#Data],5)-VLOOKUP(Power2025914[[#This Row],[ASABEtype]],ASABECoefficients813[#Data],6)*MIN(Power2025914[[#This Row],[Lifespan (hours)]]/Power2025914[[#This Row],[Use (hr/yr)]],Power2025914[[#This Row],[Life (yr)]])^0.5-VLOOKUP(Power2025914[[#This Row],[ASABEtype]],ASABECoefficients813[#Data],7)*Power2025914[[#This Row],[Use (hr/yr)]]^0.5+VLOOKUP(Power2025914[[#This Row],[ASABEtype]],ASABECoefficients813[#Data],8)*$BP$17)^2+0.25*VLOOKUP(Power2025914[[#This Row],[ASABEtype]],ASABECoefficients813[#Data],9)</f>
        <v>0.51690082596189402</v>
      </c>
      <c r="AV11" s="214">
        <f>Power2025914[[#This Row],[TradeIn%]]*Power2025914[[#This Row],[PriceL]]</f>
        <v>23260.537168285231</v>
      </c>
      <c r="AW11" s="215">
        <f>(Power2025914[[#This Row],[PriceP]]-Power2025914[[#This Row],[TradeIn$]])/Power2025914[[#This Row],[Life (yr)]]/Power2025914[[#This Row],[Use (hr/yr)]]</f>
        <v>2.3943698377381621</v>
      </c>
      <c r="AX11" s="216">
        <f>((Power2025914[[#This Row],[PriceP]]+Power2025914[[#This Row],[TradeIn$]])/2*($BP$7+$BP$8+$BP$9)+Power2025914[[#This Row],[Shed (ft^2)]]*$BP$12)/Power2025914[[#This Row],[Use (hr/yr)]]</f>
        <v>7.2542577455906612</v>
      </c>
      <c r="AY11" s="217">
        <f>Power2025914[[#This Row],[PriceL]]*(VLOOKUP(Power2025914[[#This Row],[ASABEtype]],ASABECoefficients813[#Data],2)*(Power2025914[[#This Row],[Life (yr)]]*Power2025914[[#This Row],[Use (hr/yr)]]/1000)^VLOOKUP(Power2025914[[#This Row],[ASABEtype]],ASABECoefficients813[#Data],3))/Power2025914[[#This Row],[Life (yr)]]/Power2025914[[#This Row],[Use (hr/yr)]]+Power2025914[[#This Row],[Fuel (gal/hr)]]*$BP$10*$BP$11*(10*Power2025914[[#This Row],[Life used (%)]])</f>
        <v>9.8849999999999998</v>
      </c>
      <c r="AZ11" s="218">
        <f>Power2025914[[#This Row],[Fuel (gal/hph)]]*Power2025914[[#This Row],[HP]]</f>
        <v>7.125</v>
      </c>
      <c r="BA11" s="215">
        <f t="shared" si="3"/>
        <v>9.6486275833288229</v>
      </c>
      <c r="BB11" s="164" t="s">
        <v>663</v>
      </c>
      <c r="BC11" s="152" t="s">
        <v>425</v>
      </c>
      <c r="BD11" s="219">
        <v>0.04</v>
      </c>
      <c r="BE11" s="219">
        <v>2.1</v>
      </c>
      <c r="BF11" s="219">
        <v>3000</v>
      </c>
      <c r="BG11" s="219">
        <v>1.0136000000000001</v>
      </c>
      <c r="BH11" s="219">
        <v>0.1741</v>
      </c>
      <c r="BI11" s="219">
        <v>7.7000000000000002E-3</v>
      </c>
      <c r="BJ11" s="219">
        <v>1.2999999999999999E-3</v>
      </c>
      <c r="BK11" s="149">
        <f t="shared" si="4"/>
        <v>0</v>
      </c>
      <c r="BL11" s="219">
        <v>0</v>
      </c>
      <c r="BM11" s="183" t="s">
        <v>529</v>
      </c>
      <c r="BO11" s="152" t="s">
        <v>530</v>
      </c>
      <c r="BP11" s="225">
        <v>0.1</v>
      </c>
    </row>
    <row r="12" spans="1:71" ht="31.5">
      <c r="A12" s="166"/>
      <c r="B12" s="144" t="str">
        <f>Implements712[[#This Row],[Implement type]]&amp;", "&amp;Implements712[[#This Row],[Width]]&amp;" "&amp;Implements712[[#This Row],[Width Unit]]</f>
        <v>Cotton Picker, 12 Ft</v>
      </c>
      <c r="C12" s="170" t="s">
        <v>628</v>
      </c>
      <c r="D12" s="171">
        <v>12</v>
      </c>
      <c r="E12" s="170" t="s">
        <v>402</v>
      </c>
      <c r="F12" s="171"/>
      <c r="G12" s="170" t="s">
        <v>637</v>
      </c>
      <c r="H12" s="172">
        <v>50000</v>
      </c>
      <c r="I12" s="173">
        <v>0</v>
      </c>
      <c r="J12" s="174">
        <f t="shared" si="0"/>
        <v>50000</v>
      </c>
      <c r="K12" s="198">
        <f>VLOOKUP(Implements712[[#This Row],[ASABEtype]],ASABECoefficients813[],4,FALSE)/Implements712[[#This Row],[Use (hr/yr)]]</f>
        <v>15</v>
      </c>
      <c r="L12" s="199">
        <v>200</v>
      </c>
      <c r="M12" s="176">
        <f>IF(Implements712[[#This Row],[Use basis]]="hour",,L12*(D12*P12*Q12)/8.25)</f>
        <v>930.90909090909099</v>
      </c>
      <c r="N12" s="200" t="s">
        <v>654</v>
      </c>
      <c r="O12" s="171" t="s">
        <v>533</v>
      </c>
      <c r="P12" s="171">
        <v>4</v>
      </c>
      <c r="Q12" s="173">
        <v>0.8</v>
      </c>
      <c r="R12" s="173">
        <v>1.1499999999999999</v>
      </c>
      <c r="S12" s="171">
        <v>500</v>
      </c>
      <c r="T12"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0.25752338123556467</v>
      </c>
      <c r="U12" s="179">
        <f>Implements712[[#This Row],[TradeIn%]]*Implements712[[#This Row],[PriceL]]</f>
        <v>12876.169061778233</v>
      </c>
      <c r="V12" s="180">
        <f>(Implements712[[#This Row],[PriceP]]-Implements712[[#This Row],[TradeIn$]])/Implements712[[#This Row],[Life (yr)]]/Implements712[[#This Row],[Use (hr/yr)]]</f>
        <v>12.37461031274059</v>
      </c>
      <c r="W12" s="180">
        <f>((Implements712[[#This Row],[PriceP]]+Implements712[[#This Row],[TradeIn$]])/2*($BP$7+$BP$8+$BP$9)+Implements712[[#This Row],[Shed (ft^2)]]*$BP$12)/Implements712[[#This Row],[Use (hr/yr)]]</f>
        <v>15.518376348282318</v>
      </c>
      <c r="X12" s="180">
        <f>Implements712[[#This Row],[PriceL]]*(VLOOKUP(Implements712[[#This Row],[ASABEtype]],$BC$6:$BM$52,2)*(Implements712[[#This Row],[Life (yr)]]*Implements712[[#This Row],[Use (hr/yr)]]/1000)^VLOOKUP(Implements712[[#This Row],[ASABEtype]],$BC$6:$BM$52,3))/Implements712[[#This Row],[Life (yr)]]/Implements712[[#This Row],[Use (hr/yr)]]</f>
        <v>13.245235769043809</v>
      </c>
      <c r="Y12" s="180">
        <f>Implements712[[#This Row],[Depr ($/hr)]]+Implements712[[#This Row],[OH ($/hr)]]</f>
        <v>27.89298666102291</v>
      </c>
      <c r="Z12" s="180">
        <f>(Implements712[[#This Row],[PriceP]]-Implements712[[#This Row],[TradeIn$]])/Implements712[[#This Row],[Life (yr)]]/Implements712[[#This Row],[Use (ac/yr)]]</f>
        <v>2.658607684377861</v>
      </c>
      <c r="AA12" s="201">
        <f>((Implements712[[#This Row],[PriceP]]+Implements712[[#This Row],[TradeIn$]])/2*($BP$7+$BP$8+$BP$9)+Implements712[[#This Row],[Shed (ft^2)]]*$BP$12)/Implements712[[#This Row],[Use (ac/yr)]]</f>
        <v>3.3340261685762789</v>
      </c>
      <c r="AB12"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2.8456561222555057</v>
      </c>
      <c r="AC12" s="182">
        <f>IF(Implements712[[#This Row],[Use basis]]="hour","-",$BP$18/(Implements712[[#This Row],[Width]]*Implements712[[#This Row],[Speed]]*Implements712[[#This Row],[Efficiency]]))</f>
        <v>0.21484374999999997</v>
      </c>
      <c r="AD12" s="163">
        <f>IF(Implements712[[#This Row],[Use basis]]=$N$128,Implements712[[#This Row],[Ownership costs ($/hr)]],SUM(Implements712[[#This Row],[Depr ($/ac)2]:[OH ($/ac)]]))</f>
        <v>5.9926338529541399</v>
      </c>
      <c r="AE12" s="163"/>
      <c r="AF12" s="163" t="s">
        <v>646</v>
      </c>
      <c r="AG12" s="163"/>
      <c r="AH12" s="202" t="str">
        <f>CONCATENATE(AI12&amp;" "&amp;AJ12)</f>
        <v>45 HP MFWD Cab loader</v>
      </c>
      <c r="AI12" s="203">
        <v>45</v>
      </c>
      <c r="AJ12" s="204" t="s">
        <v>816</v>
      </c>
      <c r="AK12" s="205">
        <v>46500</v>
      </c>
      <c r="AL12" s="206">
        <v>0</v>
      </c>
      <c r="AM12" s="207">
        <f>AK12/(1-AL12)</f>
        <v>46500</v>
      </c>
      <c r="AN12" s="208">
        <f>VLOOKUP(Power2025914[[#This Row],[ASABEtype]],$BC$6:$BM$52,4,FALSE)</f>
        <v>8000</v>
      </c>
      <c r="AO12" s="206"/>
      <c r="AP12" s="209">
        <f>VLOOKUP(Power2025914[[#This Row],[ASABEtype]],ASABECoefficients813[],4,FALSE)/Power2025914[[#This Row],[Use (hr/yr)]]*(1-Power2025914[[#This Row],[Life used (%)]])</f>
        <v>32</v>
      </c>
      <c r="AQ12" s="210">
        <v>250</v>
      </c>
      <c r="AR12" s="211">
        <v>4.3999999999999997E-2</v>
      </c>
      <c r="AS12" s="212" t="s">
        <v>485</v>
      </c>
      <c r="AT12" s="210">
        <v>105</v>
      </c>
      <c r="AU12" s="213">
        <f>(VLOOKUP(Power2025914[[#This Row],[ASABEtype]],ASABECoefficients813[#Data],5)-VLOOKUP(Power2025914[[#This Row],[ASABEtype]],ASABECoefficients813[#Data],6)*MIN(Power2025914[[#This Row],[Lifespan (hours)]]/Power2025914[[#This Row],[Use (hr/yr)]],Power2025914[[#This Row],[Life (yr)]])^0.5-VLOOKUP(Power2025914[[#This Row],[ASABEtype]],ASABECoefficients813[#Data],7)*Power2025914[[#This Row],[Use (hr/yr)]]^0.5+VLOOKUP(Power2025914[[#This Row],[ASABEtype]],ASABECoefficients813[#Data],8)*$BP$17)^2+0.25*VLOOKUP(Power2025914[[#This Row],[ASABEtype]],ASABECoefficients813[#Data],9)</f>
        <v>0.33485738108447971</v>
      </c>
      <c r="AV12" s="214">
        <f>Power2025914[[#This Row],[TradeIn%]]*Power2025914[[#This Row],[PriceL]]</f>
        <v>15570.868220428307</v>
      </c>
      <c r="AW12" s="215">
        <f>(Power2025914[[#This Row],[PriceP]]-Power2025914[[#This Row],[TradeIn$]])/Power2025914[[#This Row],[Life (yr)]]/Power2025914[[#This Row],[Use (hr/yr)]]</f>
        <v>3.8661414724464618</v>
      </c>
      <c r="AX12" s="216">
        <f>((Power2025914[[#This Row],[PriceP]]+Power2025914[[#This Row],[TradeIn$]])/2*($BP$7+$BP$8+$BP$9)+Power2025914[[#This Row],[Shed (ft^2)]]*$BP$12)/Power2025914[[#This Row],[Use (hr/yr)]]</f>
        <v>11.012189333913668</v>
      </c>
      <c r="AY12" s="217">
        <f>Power2025914[[#This Row],[PriceL]]*(VLOOKUP(Power2025914[[#This Row],[ASABEtype]],ASABECoefficients813[#Data],2)*(Power2025914[[#This Row],[Life (yr)]]*Power2025914[[#This Row],[Use (hr/yr)]]/1000)^VLOOKUP(Power2025914[[#This Row],[ASABEtype]],ASABECoefficients813[#Data],3))/Power2025914[[#This Row],[Life (yr)]]/Power2025914[[#This Row],[Use (hr/yr)]]+Power2025914[[#This Row],[Fuel (gal/hr)]]*$BP$10*$BP$11*(10*Power2025914[[#This Row],[Life used (%)]])</f>
        <v>2.6040000000000001</v>
      </c>
      <c r="AZ12" s="218">
        <f>Power2025914[[#This Row],[Fuel (gal/hph)]]*Power2025914[[#This Row],[HP]]</f>
        <v>1.98</v>
      </c>
      <c r="BA12" s="215">
        <f t="shared" si="3"/>
        <v>14.878330806360129</v>
      </c>
      <c r="BB12" s="164"/>
      <c r="BC12" s="152" t="s">
        <v>531</v>
      </c>
      <c r="BD12" s="219">
        <v>0.14000000000000001</v>
      </c>
      <c r="BE12" s="219">
        <v>2.2999999999999998</v>
      </c>
      <c r="BF12" s="219">
        <v>2000</v>
      </c>
      <c r="BG12" s="219">
        <v>1.054</v>
      </c>
      <c r="BH12" s="219">
        <v>0.1865</v>
      </c>
      <c r="BI12" s="219">
        <v>6.7999999999999996E-3</v>
      </c>
      <c r="BJ12" s="219">
        <v>2.8E-3</v>
      </c>
      <c r="BK12" s="149">
        <f t="shared" si="4"/>
        <v>7.1740899999999993E-3</v>
      </c>
      <c r="BL12" s="219">
        <v>8.4699999999999998E-2</v>
      </c>
      <c r="BM12" s="183"/>
      <c r="BO12" s="152" t="s">
        <v>532</v>
      </c>
      <c r="BP12" s="226">
        <v>0.8</v>
      </c>
      <c r="BS12" s="144" t="s">
        <v>817</v>
      </c>
    </row>
    <row r="13" spans="1:71">
      <c r="A13" s="166"/>
      <c r="B13" s="144" t="str">
        <f>Implements712[[#This Row],[Implement type]]&amp;", "&amp;Implements712[[#This Row],[Width]]&amp;" "&amp;Implements712[[#This Row],[Width Unit]]</f>
        <v>Cotton Picker, 18 Ft</v>
      </c>
      <c r="C13" s="170" t="s">
        <v>628</v>
      </c>
      <c r="D13" s="171">
        <v>18</v>
      </c>
      <c r="E13" s="170" t="s">
        <v>402</v>
      </c>
      <c r="F13" s="171"/>
      <c r="G13" s="170" t="s">
        <v>212</v>
      </c>
      <c r="H13" s="172">
        <v>150000</v>
      </c>
      <c r="I13" s="173">
        <v>0</v>
      </c>
      <c r="J13" s="174">
        <f t="shared" si="0"/>
        <v>150000</v>
      </c>
      <c r="K13" s="198">
        <f>VLOOKUP(Implements712[[#This Row],[ASABEtype]],ASABECoefficients813[],4,FALSE)/Implements712[[#This Row],[Use (hr/yr)]]</f>
        <v>15</v>
      </c>
      <c r="L13" s="199">
        <v>200</v>
      </c>
      <c r="M13" s="176">
        <f>IF(Implements712[[#This Row],[Use basis]]="hour",,L13*(D13*P13*Q13)/8.25)</f>
        <v>1396.3636363636363</v>
      </c>
      <c r="N13" s="200" t="s">
        <v>654</v>
      </c>
      <c r="O13" s="171" t="s">
        <v>533</v>
      </c>
      <c r="P13" s="171">
        <v>4</v>
      </c>
      <c r="Q13" s="173">
        <v>0.8</v>
      </c>
      <c r="R13" s="173">
        <v>1.1499999999999999</v>
      </c>
      <c r="S13" s="171">
        <v>600</v>
      </c>
      <c r="T13"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0.25752338123556467</v>
      </c>
      <c r="U13" s="179">
        <f>Implements712[[#This Row],[TradeIn%]]*Implements712[[#This Row],[PriceL]]</f>
        <v>38628.507185334704</v>
      </c>
      <c r="V13" s="180">
        <f>(Implements712[[#This Row],[PriceP]]-Implements712[[#This Row],[TradeIn$]])/Implements712[[#This Row],[Life (yr)]]/Implements712[[#This Row],[Use (hr/yr)]]</f>
        <v>37.123830938221765</v>
      </c>
      <c r="W13" s="180">
        <f>((Implements712[[#This Row],[PriceP]]+Implements712[[#This Row],[TradeIn$]])/2*($BP$7+$BP$8+$BP$9)+Implements712[[#This Row],[Shed (ft^2)]]*$BP$12)/Implements712[[#This Row],[Use (hr/yr)]]</f>
        <v>42.955129044846956</v>
      </c>
      <c r="X13" s="180">
        <f>Implements712[[#This Row],[PriceL]]*(VLOOKUP(Implements712[[#This Row],[ASABEtype]],$BC$6:$BM$52,2)*(Implements712[[#This Row],[Life (yr)]]*Implements712[[#This Row],[Use (hr/yr)]]/1000)^VLOOKUP(Implements712[[#This Row],[ASABEtype]],$BC$6:$BM$52,3))/Implements712[[#This Row],[Life (yr)]]/Implements712[[#This Row],[Use (hr/yr)]]</f>
        <v>39.735707307131428</v>
      </c>
      <c r="Y13" s="180">
        <f>Implements712[[#This Row],[Depr ($/hr)]]+Implements712[[#This Row],[OH ($/hr)]]</f>
        <v>80.078959983068728</v>
      </c>
      <c r="Z13" s="180">
        <f>(Implements712[[#This Row],[PriceP]]-Implements712[[#This Row],[TradeIn$]])/Implements712[[#This Row],[Life (yr)]]/Implements712[[#This Row],[Use (ac/yr)]]</f>
        <v>5.317215368755722</v>
      </c>
      <c r="AA13" s="201">
        <f>((Implements712[[#This Row],[PriceP]]+Implements712[[#This Row],[TradeIn$]])/2*($BP$7+$BP$8+$BP$9)+Implements712[[#This Row],[Shed (ft^2)]]*$BP$12)/Implements712[[#This Row],[Use (ac/yr)]]</f>
        <v>6.1524273371525586</v>
      </c>
      <c r="AB13"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5.6913122445110123</v>
      </c>
      <c r="AC13" s="182">
        <f>IF(Implements712[[#This Row],[Use basis]]="hour","-",$BP$18/(Implements712[[#This Row],[Width]]*Implements712[[#This Row],[Speed]]*Implements712[[#This Row],[Efficiency]]))</f>
        <v>0.14322916666666666</v>
      </c>
      <c r="AD13" s="163">
        <f>IF(Implements712[[#This Row],[Use basis]]=$N$128,Implements712[[#This Row],[Ownership costs ($/hr)]],SUM(Implements712[[#This Row],[Depr ($/ac)2]:[OH ($/ac)]]))</f>
        <v>11.469642705908281</v>
      </c>
      <c r="AE13" s="163"/>
      <c r="AF13" s="163" t="s">
        <v>646</v>
      </c>
      <c r="AG13" s="163"/>
      <c r="AH13" s="202" t="str">
        <f t="shared" si="1"/>
        <v>40 HP TWD</v>
      </c>
      <c r="AI13" s="203">
        <v>40</v>
      </c>
      <c r="AJ13" s="171" t="s">
        <v>484</v>
      </c>
      <c r="AK13" s="227">
        <v>31000</v>
      </c>
      <c r="AL13" s="228">
        <v>0</v>
      </c>
      <c r="AM13" s="229">
        <f t="shared" si="2"/>
        <v>31000</v>
      </c>
      <c r="AN13" s="208">
        <f>VLOOKUP(Power2025914[[#This Row],[ASABEtype]],$BC$6:$BM$52,4,FALSE)</f>
        <v>8000</v>
      </c>
      <c r="AO13" s="206"/>
      <c r="AP13" s="209">
        <f>VLOOKUP(Power2025914[[#This Row],[ASABEtype]],ASABECoefficients813[],4,FALSE)/Power2025914[[#This Row],[Use (hr/yr)]]*(1-Power2025914[[#This Row],[Life used (%)]])</f>
        <v>32</v>
      </c>
      <c r="AQ13" s="210">
        <v>250</v>
      </c>
      <c r="AR13" s="171">
        <v>4.3999999999999997E-2</v>
      </c>
      <c r="AS13" s="171" t="s">
        <v>485</v>
      </c>
      <c r="AT13" s="171">
        <v>92</v>
      </c>
      <c r="AU13" s="213">
        <f>(VLOOKUP(Power2025914[[#This Row],[ASABEtype]],ASABECoefficients813[#Data],5)-VLOOKUP(Power2025914[[#This Row],[ASABEtype]],ASABECoefficients813[#Data],6)*MIN(Power2025914[[#This Row],[Lifespan (hours)]]/Power2025914[[#This Row],[Use (hr/yr)]],Power2025914[[#This Row],[Life (yr)]])^0.5-VLOOKUP(Power2025914[[#This Row],[ASABEtype]],ASABECoefficients813[#Data],7)*Power2025914[[#This Row],[Use (hr/yr)]]^0.5+VLOOKUP(Power2025914[[#This Row],[ASABEtype]],ASABECoefficients813[#Data],8)*$BP$17)^2+0.25*VLOOKUP(Power2025914[[#This Row],[ASABEtype]],ASABECoefficients813[#Data],9)</f>
        <v>0.33485738108447971</v>
      </c>
      <c r="AV13" s="230">
        <f>Power2025914[[#This Row],[TradeIn%]]*Power2025914[[#This Row],[PriceL]]</f>
        <v>10380.578813618871</v>
      </c>
      <c r="AW13" s="231">
        <f>(Power2025914[[#This Row],[PriceP]]-Power2025914[[#This Row],[TradeIn$]])/Power2025914[[#This Row],[Life (yr)]]/Power2025914[[#This Row],[Use (hr/yr)]]</f>
        <v>2.577427648297641</v>
      </c>
      <c r="AX13" s="216">
        <f>((Power2025914[[#This Row],[PriceP]]+Power2025914[[#This Row],[TradeIn$]])/2*($BP$7+$BP$8+$BP$9)+Power2025914[[#This Row],[Shed (ft^2)]]*$BP$12)/Power2025914[[#This Row],[Use (hr/yr)]]</f>
        <v>7.4118595559424447</v>
      </c>
      <c r="AY13" s="217">
        <f>Power2025914[[#This Row],[PriceL]]*(VLOOKUP(Power2025914[[#This Row],[ASABEtype]],ASABECoefficients813[#Data],2)*(Power2025914[[#This Row],[Life (yr)]]*Power2025914[[#This Row],[Use (hr/yr)]]/1000)^VLOOKUP(Power2025914[[#This Row],[ASABEtype]],ASABECoefficients813[#Data],3))/Power2025914[[#This Row],[Life (yr)]]/Power2025914[[#This Row],[Use (hr/yr)]]+Power2025914[[#This Row],[Fuel (gal/hr)]]*$BP$10*$BP$11*(10*Power2025914[[#This Row],[Life used (%)]])</f>
        <v>1.736</v>
      </c>
      <c r="AZ13" s="232">
        <f>Power2025914[[#This Row],[Fuel (gal/hph)]]*Power2025914[[#This Row],[HP]]</f>
        <v>1.7599999999999998</v>
      </c>
      <c r="BA13" s="233">
        <f t="shared" si="3"/>
        <v>9.9892872042400853</v>
      </c>
      <c r="BB13" s="164"/>
      <c r="BC13" s="152" t="s">
        <v>533</v>
      </c>
      <c r="BD13" s="219">
        <v>0.11</v>
      </c>
      <c r="BE13" s="219">
        <v>1.8</v>
      </c>
      <c r="BF13" s="219">
        <v>3000</v>
      </c>
      <c r="BG13" s="219">
        <v>1.054</v>
      </c>
      <c r="BH13" s="219">
        <v>0.1865</v>
      </c>
      <c r="BI13" s="219">
        <v>6.7999999999999996E-3</v>
      </c>
      <c r="BJ13" s="219">
        <v>2.8E-3</v>
      </c>
      <c r="BK13" s="149">
        <f t="shared" si="4"/>
        <v>7.1740899999999993E-3</v>
      </c>
      <c r="BL13" s="219">
        <v>8.4699999999999998E-2</v>
      </c>
      <c r="BM13" s="183"/>
      <c r="BO13" s="149" t="s">
        <v>534</v>
      </c>
      <c r="BP13" s="234">
        <v>0</v>
      </c>
    </row>
    <row r="14" spans="1:71">
      <c r="A14" s="166"/>
      <c r="B14" s="144" t="str">
        <f>Implements712[[#This Row],[Implement type]]&amp;", "&amp;Implements712[[#This Row],[Width]]&amp;" "&amp;Implements712[[#This Row],[Width Unit]]</f>
        <v xml:space="preserve">Cotton Module Builder,  </v>
      </c>
      <c r="C14" s="170" t="s">
        <v>629</v>
      </c>
      <c r="D14" s="171"/>
      <c r="E14" s="170"/>
      <c r="F14" s="171"/>
      <c r="G14" s="170"/>
      <c r="H14" s="172">
        <v>75000</v>
      </c>
      <c r="I14" s="173">
        <v>0.1</v>
      </c>
      <c r="J14" s="174">
        <f t="shared" si="0"/>
        <v>83333.333333333328</v>
      </c>
      <c r="K14" s="198">
        <f>VLOOKUP(Implements712[[#This Row],[ASABEtype]],ASABECoefficients813[],4,FALSE)/Implements712[[#This Row],[Use (hr/yr)]]</f>
        <v>10</v>
      </c>
      <c r="L14" s="199">
        <v>200</v>
      </c>
      <c r="M14" s="176">
        <f>IF(Implements712[[#This Row],[Use basis]]="hour",,L14*(D14*P14*Q14)/8.25)</f>
        <v>0</v>
      </c>
      <c r="N14" s="200" t="s">
        <v>665</v>
      </c>
      <c r="O14" s="171" t="s">
        <v>541</v>
      </c>
      <c r="P14" s="171"/>
      <c r="Q14" s="173"/>
      <c r="R14" s="173"/>
      <c r="S14" s="171">
        <v>800</v>
      </c>
      <c r="T14"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0.35624486653951015</v>
      </c>
      <c r="U14" s="179">
        <f>Implements712[[#This Row],[TradeIn%]]*Implements712[[#This Row],[PriceL]]</f>
        <v>29687.072211625844</v>
      </c>
      <c r="V14" s="180">
        <f>(Implements712[[#This Row],[PriceP]]-Implements712[[#This Row],[TradeIn$]])/Implements712[[#This Row],[Life (yr)]]/Implements712[[#This Row],[Use (hr/yr)]]</f>
        <v>22.65646389418708</v>
      </c>
      <c r="W14" s="180">
        <f>((Implements712[[#This Row],[PriceP]]+Implements712[[#This Row],[TradeIn$]])/2*($BP$7+$BP$8+$BP$9)+Implements712[[#This Row],[Shed (ft^2)]]*$BP$12)/Implements712[[#This Row],[Use (hr/yr)]]</f>
        <v>25.707720525499553</v>
      </c>
      <c r="X14" s="180">
        <f>Implements712[[#This Row],[PriceL]]*(VLOOKUP(Implements712[[#This Row],[ASABEtype]],$BC$6:$BM$52,2)*(Implements712[[#This Row],[Life (yr)]]*Implements712[[#This Row],[Use (hr/yr)]]/1000)^VLOOKUP(Implements712[[#This Row],[ASABEtype]],$BC$6:$BM$52,3))/Implements712[[#This Row],[Life (yr)]]/Implements712[[#This Row],[Use (hr/yr)]]</f>
        <v>20.209554220138642</v>
      </c>
      <c r="Y14" s="180">
        <f>Implements712[[#This Row],[Depr ($/hr)]]+Implements712[[#This Row],[OH ($/hr)]]</f>
        <v>48.364184419686637</v>
      </c>
      <c r="Z14" s="180" t="e">
        <f>(Implements712[[#This Row],[PriceP]]-Implements712[[#This Row],[TradeIn$]])/Implements712[[#This Row],[Life (yr)]]/Implements712[[#This Row],[Use (ac/yr)]]</f>
        <v>#DIV/0!</v>
      </c>
      <c r="AA14" s="201" t="e">
        <f>((Implements712[[#This Row],[PriceP]]+Implements712[[#This Row],[TradeIn$]])/2*($BP$7+$BP$8+$BP$9)+Implements712[[#This Row],[Shed (ft^2)]]*$BP$12)/Implements712[[#This Row],[Use (ac/yr)]]</f>
        <v>#DIV/0!</v>
      </c>
      <c r="AB14"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20.209554220138642</v>
      </c>
      <c r="AC14" s="182" t="str">
        <f>IF(Implements712[[#This Row],[Use basis]]="hour","-",$BP$18/(Implements712[[#This Row],[Width]]*Implements712[[#This Row],[Speed]]*Implements712[[#This Row],[Efficiency]]))</f>
        <v>-</v>
      </c>
      <c r="AD14" s="163">
        <f>IF(Implements712[[#This Row],[Use basis]]=$N$128,Implements712[[#This Row],[Ownership costs ($/hr)]],SUM(Implements712[[#This Row],[Depr ($/ac)2]:[OH ($/ac)]]))</f>
        <v>48.364184419686637</v>
      </c>
      <c r="AE14" s="163"/>
      <c r="AF14" s="163" t="s">
        <v>646</v>
      </c>
      <c r="AG14" s="163"/>
      <c r="AH14" s="202" t="str">
        <f t="shared" si="1"/>
        <v>60 HP TWD</v>
      </c>
      <c r="AI14" s="203">
        <v>60</v>
      </c>
      <c r="AJ14" s="171" t="s">
        <v>484</v>
      </c>
      <c r="AK14" s="227">
        <v>37000</v>
      </c>
      <c r="AL14" s="228">
        <v>0</v>
      </c>
      <c r="AM14" s="229">
        <f t="shared" si="2"/>
        <v>37000</v>
      </c>
      <c r="AN14" s="208">
        <f>VLOOKUP(Power2025914[[#This Row],[ASABEtype]],$BC$6:$BM$52,4,FALSE)</f>
        <v>8000</v>
      </c>
      <c r="AO14" s="206"/>
      <c r="AP14" s="209">
        <f>VLOOKUP(Power2025914[[#This Row],[ASABEtype]],ASABECoefficients813[],4,FALSE)/Power2025914[[#This Row],[Use (hr/yr)]]*(1-Power2025914[[#This Row],[Life used (%)]])</f>
        <v>32</v>
      </c>
      <c r="AQ14" s="210">
        <v>250</v>
      </c>
      <c r="AR14" s="171">
        <v>4.3999999999999997E-2</v>
      </c>
      <c r="AS14" s="171" t="s">
        <v>485</v>
      </c>
      <c r="AT14" s="171">
        <v>104</v>
      </c>
      <c r="AU14" s="213">
        <f>(VLOOKUP(Power2025914[[#This Row],[ASABEtype]],ASABECoefficients813[#Data],5)-VLOOKUP(Power2025914[[#This Row],[ASABEtype]],ASABECoefficients813[#Data],6)*MIN(Power2025914[[#This Row],[Lifespan (hours)]]/Power2025914[[#This Row],[Use (hr/yr)]],Power2025914[[#This Row],[Life (yr)]])^0.5-VLOOKUP(Power2025914[[#This Row],[ASABEtype]],ASABECoefficients813[#Data],7)*Power2025914[[#This Row],[Use (hr/yr)]]^0.5+VLOOKUP(Power2025914[[#This Row],[ASABEtype]],ASABECoefficients813[#Data],8)*$BP$17)^2+0.25*VLOOKUP(Power2025914[[#This Row],[ASABEtype]],ASABECoefficients813[#Data],9)</f>
        <v>0.33485738108447971</v>
      </c>
      <c r="AV14" s="230">
        <f>Power2025914[[#This Row],[TradeIn%]]*Power2025914[[#This Row],[PriceL]]</f>
        <v>12389.72310012575</v>
      </c>
      <c r="AW14" s="233">
        <f>(Power2025914[[#This Row],[PriceP]]-Power2025914[[#This Row],[TradeIn$]])/Power2025914[[#This Row],[Life (yr)]]/Power2025914[[#This Row],[Use (hr/yr)]]</f>
        <v>3.0762846124842813</v>
      </c>
      <c r="AX14" s="216">
        <f>((Power2025914[[#This Row],[PriceP]]+Power2025914[[#This Row],[TradeIn$]])/2*($BP$7+$BP$8+$BP$9)+Power2025914[[#This Row],[Shed (ft^2)]]*$BP$12)/Power2025914[[#This Row],[Use (hr/yr)]]</f>
        <v>8.8278323732216268</v>
      </c>
      <c r="AY14" s="217">
        <f>Power2025914[[#This Row],[PriceL]]*(VLOOKUP(Power2025914[[#This Row],[ASABEtype]],ASABECoefficients813[#Data],2)*(Power2025914[[#This Row],[Life (yr)]]*Power2025914[[#This Row],[Use (hr/yr)]]/1000)^VLOOKUP(Power2025914[[#This Row],[ASABEtype]],ASABECoefficients813[#Data],3))/Power2025914[[#This Row],[Life (yr)]]/Power2025914[[#This Row],[Use (hr/yr)]]+Power2025914[[#This Row],[Fuel (gal/hr)]]*$BP$10*$BP$11*(10*Power2025914[[#This Row],[Life used (%)]])</f>
        <v>2.0720000000000001</v>
      </c>
      <c r="AZ14" s="232">
        <f>Power2025914[[#This Row],[Fuel (gal/hph)]]*Power2025914[[#This Row],[HP]]</f>
        <v>2.6399999999999997</v>
      </c>
      <c r="BA14" s="233">
        <f t="shared" si="3"/>
        <v>11.904116985705908</v>
      </c>
      <c r="BB14" s="164"/>
      <c r="BC14" s="152" t="s">
        <v>405</v>
      </c>
      <c r="BD14" s="219">
        <v>0.63</v>
      </c>
      <c r="BE14" s="219">
        <v>1.3</v>
      </c>
      <c r="BF14" s="219">
        <v>1200</v>
      </c>
      <c r="BG14" s="219">
        <v>0.86350000000000005</v>
      </c>
      <c r="BH14" s="219">
        <v>0.1288</v>
      </c>
      <c r="BI14" s="219">
        <v>0</v>
      </c>
      <c r="BJ14" s="219">
        <v>1.6999999999999999E-3</v>
      </c>
      <c r="BK14" s="149">
        <f t="shared" si="4"/>
        <v>2.4617610000000005E-2</v>
      </c>
      <c r="BL14" s="219">
        <v>0.15690000000000001</v>
      </c>
      <c r="BM14" s="183"/>
      <c r="BO14" s="149" t="s">
        <v>535</v>
      </c>
      <c r="BP14" s="235">
        <v>180.1</v>
      </c>
      <c r="BS14" s="167" t="s">
        <v>818</v>
      </c>
    </row>
    <row r="15" spans="1:71">
      <c r="A15" s="166"/>
      <c r="B15" s="144" t="str">
        <f>Implements712[[#This Row],[Implement type]]&amp;", "&amp;Implements712[[#This Row],[Width]]&amp;" "&amp;Implements712[[#This Row],[Width Unit]]</f>
        <v>Cotton picker with baler, 18 Ft</v>
      </c>
      <c r="C15" s="170" t="s">
        <v>630</v>
      </c>
      <c r="D15" s="171">
        <v>18</v>
      </c>
      <c r="E15" s="170" t="s">
        <v>402</v>
      </c>
      <c r="F15" s="171"/>
      <c r="G15" s="170" t="s">
        <v>212</v>
      </c>
      <c r="H15" s="172">
        <v>1050000</v>
      </c>
      <c r="I15" s="173">
        <v>0.2</v>
      </c>
      <c r="J15" s="174">
        <f t="shared" si="0"/>
        <v>1312500</v>
      </c>
      <c r="K15" s="198">
        <f>VLOOKUP(Implements712[[#This Row],[ASABEtype]],ASABECoefficients813[],4,FALSE)/Implements712[[#This Row],[Use (hr/yr)]]</f>
        <v>7.5</v>
      </c>
      <c r="L15" s="199">
        <v>400</v>
      </c>
      <c r="M15" s="176">
        <f>IF(Implements712[[#This Row],[Use basis]]="hour",,L15*(D15*P15*Q15)/8.25)</f>
        <v>2792.7272727272725</v>
      </c>
      <c r="N15" s="200" t="s">
        <v>654</v>
      </c>
      <c r="O15" s="171" t="s">
        <v>533</v>
      </c>
      <c r="P15" s="171">
        <v>4</v>
      </c>
      <c r="Q15" s="173">
        <v>0.8</v>
      </c>
      <c r="R15" s="173">
        <v>1.1499999999999999</v>
      </c>
      <c r="S15" s="171">
        <v>800</v>
      </c>
      <c r="T15"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0.46069683868118405</v>
      </c>
      <c r="U15" s="179">
        <f>Implements712[[#This Row],[TradeIn%]]*Implements712[[#This Row],[PriceL]]</f>
        <v>604664.60076905403</v>
      </c>
      <c r="V15" s="180">
        <f>(Implements712[[#This Row],[PriceP]]-Implements712[[#This Row],[TradeIn$]])/Implements712[[#This Row],[Life (yr)]]/Implements712[[#This Row],[Use (hr/yr)]]</f>
        <v>148.44513307698199</v>
      </c>
      <c r="W15" s="180">
        <f>((Implements712[[#This Row],[PriceP]]+Implements712[[#This Row],[TradeIn$]])/2*($BP$7+$BP$8+$BP$9)+Implements712[[#This Row],[Shed (ft^2)]]*$BP$12)/Implements712[[#This Row],[Use (hr/yr)]]</f>
        <v>179.47644458267331</v>
      </c>
      <c r="X15" s="180">
        <f>Implements712[[#This Row],[PriceL]]*(VLOOKUP(Implements712[[#This Row],[ASABEtype]],$BC$6:$BM$52,2)*(Implements712[[#This Row],[Life (yr)]]*Implements712[[#This Row],[Use (hr/yr)]]/1000)^VLOOKUP(Implements712[[#This Row],[ASABEtype]],$BC$6:$BM$52,3))/Implements712[[#This Row],[Life (yr)]]/Implements712[[#This Row],[Use (hr/yr)]]</f>
        <v>347.68743893739997</v>
      </c>
      <c r="Y15" s="180">
        <f>Implements712[[#This Row],[Depr ($/hr)]]+Implements712[[#This Row],[OH ($/hr)]]</f>
        <v>327.92157765965533</v>
      </c>
      <c r="Z15" s="180">
        <f>(Implements712[[#This Row],[PriceP]]-Implements712[[#This Row],[TradeIn$]])/Implements712[[#This Row],[Life (yr)]]/Implements712[[#This Row],[Use (ac/yr)]]</f>
        <v>21.261672706338565</v>
      </c>
      <c r="AA15" s="201">
        <f>((Implements712[[#This Row],[PriceP]]+Implements712[[#This Row],[TradeIn$]])/2*($BP$7+$BP$8+$BP$9)+Implements712[[#This Row],[Shed (ft^2)]]*$BP$12)/Implements712[[#This Row],[Use (ac/yr)]]</f>
        <v>25.706261593872483</v>
      </c>
      <c r="AB15"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49.798982139471356</v>
      </c>
      <c r="AC15" s="182">
        <f>IF(Implements712[[#This Row],[Use basis]]="hour","-",$BP$18/(Implements712[[#This Row],[Width]]*Implements712[[#This Row],[Speed]]*Implements712[[#This Row],[Efficiency]]))</f>
        <v>0.14322916666666666</v>
      </c>
      <c r="AD15" s="163">
        <f>IF(Implements712[[#This Row],[Use basis]]=$N$128,Implements712[[#This Row],[Ownership costs ($/hr)]],SUM(Implements712[[#This Row],[Depr ($/ac)2]:[OH ($/ac)]]))</f>
        <v>46.967934300211049</v>
      </c>
      <c r="AE15" s="163"/>
      <c r="AF15" s="163" t="s">
        <v>646</v>
      </c>
      <c r="AG15" s="163"/>
      <c r="AH15" s="202" t="str">
        <f t="shared" si="1"/>
        <v>75 HP TWD</v>
      </c>
      <c r="AI15" s="203">
        <v>75</v>
      </c>
      <c r="AJ15" s="171" t="s">
        <v>484</v>
      </c>
      <c r="AK15" s="227">
        <v>47500</v>
      </c>
      <c r="AL15" s="228">
        <v>0.05</v>
      </c>
      <c r="AM15" s="229">
        <f t="shared" si="2"/>
        <v>50000</v>
      </c>
      <c r="AN15" s="208">
        <f>VLOOKUP(Power2025914[[#This Row],[ASABEtype]],$BC$6:$BM$52,4,FALSE)</f>
        <v>8000</v>
      </c>
      <c r="AO15" s="206"/>
      <c r="AP15" s="209">
        <f>VLOOKUP(Power2025914[[#This Row],[ASABEtype]],ASABECoefficients813[],4,FALSE)/Power2025914[[#This Row],[Use (hr/yr)]]*(1-Power2025914[[#This Row],[Life used (%)]])</f>
        <v>32</v>
      </c>
      <c r="AQ15" s="210">
        <v>250</v>
      </c>
      <c r="AR15" s="171">
        <v>4.3999999999999997E-2</v>
      </c>
      <c r="AS15" s="171" t="s">
        <v>485</v>
      </c>
      <c r="AT15" s="171">
        <v>115</v>
      </c>
      <c r="AU15" s="213">
        <f>(VLOOKUP(Power2025914[[#This Row],[ASABEtype]],ASABECoefficients813[#Data],5)-VLOOKUP(Power2025914[[#This Row],[ASABEtype]],ASABECoefficients813[#Data],6)*MIN(Power2025914[[#This Row],[Lifespan (hours)]]/Power2025914[[#This Row],[Use (hr/yr)]],Power2025914[[#This Row],[Life (yr)]])^0.5-VLOOKUP(Power2025914[[#This Row],[ASABEtype]],ASABECoefficients813[#Data],7)*Power2025914[[#This Row],[Use (hr/yr)]]^0.5+VLOOKUP(Power2025914[[#This Row],[ASABEtype]],ASABECoefficients813[#Data],8)*$BP$17)^2+0.25*VLOOKUP(Power2025914[[#This Row],[ASABEtype]],ASABECoefficients813[#Data],9)</f>
        <v>0.33485738108447971</v>
      </c>
      <c r="AV15" s="230">
        <f>Power2025914[[#This Row],[TradeIn%]]*Power2025914[[#This Row],[PriceL]]</f>
        <v>16742.869054223986</v>
      </c>
      <c r="AW15" s="233">
        <f>(Power2025914[[#This Row],[PriceP]]-Power2025914[[#This Row],[TradeIn$]])/Power2025914[[#This Row],[Life (yr)]]/Power2025914[[#This Row],[Use (hr/yr)]]</f>
        <v>3.844641368222002</v>
      </c>
      <c r="AX15" s="216">
        <f>((Power2025914[[#This Row],[PriceP]]+Power2025914[[#This Row],[TradeIn$]])/2*($BP$7+$BP$8+$BP$9)+Power2025914[[#This Row],[Shed (ft^2)]]*$BP$12)/Power2025914[[#This Row],[Use (hr/yr)]]</f>
        <v>11.417773477326524</v>
      </c>
      <c r="AY15" s="217">
        <f>Power2025914[[#This Row],[PriceL]]*(VLOOKUP(Power2025914[[#This Row],[ASABEtype]],ASABECoefficients813[#Data],2)*(Power2025914[[#This Row],[Life (yr)]]*Power2025914[[#This Row],[Use (hr/yr)]]/1000)^VLOOKUP(Power2025914[[#This Row],[ASABEtype]],ASABECoefficients813[#Data],3))/Power2025914[[#This Row],[Life (yr)]]/Power2025914[[#This Row],[Use (hr/yr)]]+Power2025914[[#This Row],[Fuel (gal/hr)]]*$BP$10*$BP$11*(10*Power2025914[[#This Row],[Life used (%)]])</f>
        <v>2.8</v>
      </c>
      <c r="AZ15" s="232">
        <f>Power2025914[[#This Row],[Fuel (gal/hph)]]*Power2025914[[#This Row],[HP]]</f>
        <v>3.3</v>
      </c>
      <c r="BA15" s="233">
        <f t="shared" si="3"/>
        <v>15.262414845548525</v>
      </c>
      <c r="BB15" s="164"/>
      <c r="BC15" s="152" t="s">
        <v>411</v>
      </c>
      <c r="BD15" s="219">
        <v>0.27</v>
      </c>
      <c r="BE15" s="219">
        <v>1.4</v>
      </c>
      <c r="BF15" s="219">
        <v>2000</v>
      </c>
      <c r="BG15" s="219">
        <v>0.69269999999999998</v>
      </c>
      <c r="BH15" s="219">
        <v>7.0300000000000001E-2</v>
      </c>
      <c r="BI15" s="219">
        <v>0</v>
      </c>
      <c r="BJ15" s="219">
        <v>1.1999999999999999E-3</v>
      </c>
      <c r="BK15" s="149">
        <f t="shared" si="4"/>
        <v>1.4957290000000002E-2</v>
      </c>
      <c r="BL15" s="219">
        <v>0.12230000000000001</v>
      </c>
      <c r="BM15" s="183"/>
      <c r="BO15" s="144" t="s">
        <v>819</v>
      </c>
      <c r="BP15" s="236">
        <v>128.06</v>
      </c>
      <c r="BS15" s="167" t="s">
        <v>820</v>
      </c>
    </row>
    <row r="16" spans="1:71">
      <c r="A16" s="166"/>
      <c r="B16" s="144" t="str">
        <f>Implements712[[#This Row],[Implement type]]&amp;", "&amp;Implements712[[#This Row],[Width]]&amp;" "&amp;Implements712[[#This Row],[Width Unit]]</f>
        <v>Cotton stalk puller, 18 Ft</v>
      </c>
      <c r="C16" s="170" t="s">
        <v>631</v>
      </c>
      <c r="D16" s="171">
        <v>18</v>
      </c>
      <c r="E16" s="170" t="s">
        <v>402</v>
      </c>
      <c r="F16" s="171"/>
      <c r="G16" s="170" t="s">
        <v>212</v>
      </c>
      <c r="H16" s="172">
        <v>24000</v>
      </c>
      <c r="I16" s="173">
        <v>0.1</v>
      </c>
      <c r="J16" s="174">
        <f t="shared" si="0"/>
        <v>26666.666666666664</v>
      </c>
      <c r="K16" s="198">
        <f>VLOOKUP(Implements712[[#This Row],[ASABEtype]],ASABECoefficients813[],4,FALSE)/Implements712[[#This Row],[Use (hr/yr)]]</f>
        <v>13.333333333333334</v>
      </c>
      <c r="L16" s="199">
        <v>150</v>
      </c>
      <c r="M16" s="176">
        <f>IF(Implements712[[#This Row],[Use basis]]="hour",,L16*(D16*P16*Q16)/8.25)</f>
        <v>1947.2727272727273</v>
      </c>
      <c r="N16" s="200" t="s">
        <v>654</v>
      </c>
      <c r="O16" s="171" t="s">
        <v>550</v>
      </c>
      <c r="P16" s="171">
        <v>7</v>
      </c>
      <c r="Q16" s="173">
        <v>0.85</v>
      </c>
      <c r="R16" s="173">
        <v>1.1000000000000001</v>
      </c>
      <c r="S16" s="171">
        <v>150</v>
      </c>
      <c r="T16"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0.30821165384280197</v>
      </c>
      <c r="U16" s="179">
        <f>Implements712[[#This Row],[TradeIn%]]*Implements712[[#This Row],[PriceL]]</f>
        <v>8218.9774358080522</v>
      </c>
      <c r="V16" s="180">
        <f>(Implements712[[#This Row],[PriceP]]-Implements712[[#This Row],[TradeIn$]])/Implements712[[#This Row],[Life (yr)]]/Implements712[[#This Row],[Use (hr/yr)]]</f>
        <v>7.8905112820959733</v>
      </c>
      <c r="W16" s="180">
        <f>((Implements712[[#This Row],[PriceP]]+Implements712[[#This Row],[TradeIn$]])/2*($BP$7+$BP$8+$BP$9)+Implements712[[#This Row],[Shed (ft^2)]]*$BP$12)/Implements712[[#This Row],[Use (hr/yr)]]</f>
        <v>10.036106864931641</v>
      </c>
      <c r="X16" s="180">
        <f>Implements712[[#This Row],[PriceL]]*(VLOOKUP(Implements712[[#This Row],[ASABEtype]],$BC$6:$BM$52,2)*(Implements712[[#This Row],[Life (yr)]]*Implements712[[#This Row],[Use (hr/yr)]]/1000)^VLOOKUP(Implements712[[#This Row],[ASABEtype]],$BC$6:$BM$52,3))/Implements712[[#This Row],[Life (yr)]]/Implements712[[#This Row],[Use (hr/yr)]]</f>
        <v>8.0929818527404169</v>
      </c>
      <c r="Y16" s="180">
        <f>Implements712[[#This Row],[Depr ($/hr)]]+Implements712[[#This Row],[OH ($/hr)]]</f>
        <v>17.926618147027614</v>
      </c>
      <c r="Z16" s="180">
        <f>(Implements712[[#This Row],[PriceP]]-Implements712[[#This Row],[TradeIn$]])/Implements712[[#This Row],[Life (yr)]]/Implements712[[#This Row],[Use (ac/yr)]]</f>
        <v>0.60781249371887758</v>
      </c>
      <c r="AA16" s="201">
        <f>((Implements712[[#This Row],[PriceP]]+Implements712[[#This Row],[TradeIn$]])/2*($BP$7+$BP$8+$BP$9)+Implements712[[#This Row],[Shed (ft^2)]]*$BP$12)/Implements712[[#This Row],[Use (ac/yr)]]</f>
        <v>0.77308946438549053</v>
      </c>
      <c r="AB16"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0.62340896624751119</v>
      </c>
      <c r="AC16" s="182">
        <f>IF(Implements712[[#This Row],[Use basis]]="hour","-",$BP$18/(Implements712[[#This Row],[Width]]*Implements712[[#This Row],[Speed]]*Implements712[[#This Row],[Efficiency]]))</f>
        <v>7.7030812324929976E-2</v>
      </c>
      <c r="AD16" s="163">
        <f>IF(Implements712[[#This Row],[Use basis]]=$N$128,Implements712[[#This Row],[Ownership costs ($/hr)]],SUM(Implements712[[#This Row],[Depr ($/ac)2]:[OH ($/ac)]]))</f>
        <v>1.380901958104368</v>
      </c>
      <c r="AE16" s="163"/>
      <c r="AF16" s="163" t="s">
        <v>646</v>
      </c>
      <c r="AG16" s="163"/>
      <c r="AH16" s="202" t="str">
        <f t="shared" si="1"/>
        <v>105 HP MFWD</v>
      </c>
      <c r="AI16" s="203">
        <v>105</v>
      </c>
      <c r="AJ16" s="171" t="s">
        <v>486</v>
      </c>
      <c r="AK16" s="227">
        <v>80750</v>
      </c>
      <c r="AL16" s="228">
        <v>0.05</v>
      </c>
      <c r="AM16" s="229">
        <f t="shared" si="2"/>
        <v>85000</v>
      </c>
      <c r="AN16" s="208">
        <f>VLOOKUP(Power2025914[[#This Row],[ASABEtype]],$BC$6:$BM$52,4,FALSE)</f>
        <v>8000</v>
      </c>
      <c r="AO16" s="206"/>
      <c r="AP16" s="209">
        <f>VLOOKUP(Power2025914[[#This Row],[ASABEtype]],ASABECoefficients813[],4,FALSE)/Power2025914[[#This Row],[Use (hr/yr)]]*(1-Power2025914[[#This Row],[Life used (%)]])</f>
        <v>20</v>
      </c>
      <c r="AQ16" s="171">
        <v>400</v>
      </c>
      <c r="AR16" s="171">
        <v>4.3999999999999997E-2</v>
      </c>
      <c r="AS16" s="171" t="s">
        <v>487</v>
      </c>
      <c r="AT16" s="171">
        <v>127</v>
      </c>
      <c r="AU16" s="213">
        <f>(VLOOKUP(Power2025914[[#This Row],[ASABEtype]],ASABECoefficients813[#Data],5)-VLOOKUP(Power2025914[[#This Row],[ASABEtype]],ASABECoefficients813[#Data],6)*MIN(Power2025914[[#This Row],[Lifespan (hours)]]/Power2025914[[#This Row],[Use (hr/yr)]],Power2025914[[#This Row],[Life (yr)]])^0.5-VLOOKUP(Power2025914[[#This Row],[ASABEtype]],ASABECoefficients813[#Data],7)*Power2025914[[#This Row],[Use (hr/yr)]]^0.5+VLOOKUP(Power2025914[[#This Row],[ASABEtype]],ASABECoefficients813[#Data],8)*$BP$17)^2+0.25*VLOOKUP(Power2025914[[#This Row],[ASABEtype]],ASABECoefficients813[#Data],9)</f>
        <v>0.29400804047164164</v>
      </c>
      <c r="AV16" s="230">
        <f>Power2025914[[#This Row],[TradeIn%]]*Power2025914[[#This Row],[PriceL]]</f>
        <v>24990.683440089539</v>
      </c>
      <c r="AW16" s="233">
        <f>(Power2025914[[#This Row],[PriceP]]-Power2025914[[#This Row],[TradeIn$]])/Power2025914[[#This Row],[Life (yr)]]/Power2025914[[#This Row],[Use (hr/yr)]]</f>
        <v>6.9699145699888074</v>
      </c>
      <c r="AX16" s="216">
        <f>((Power2025914[[#This Row],[PriceP]]+Power2025914[[#This Row],[TradeIn$]])/2*($BP$7+$BP$8+$BP$9)+Power2025914[[#This Row],[Shed (ft^2)]]*$BP$12)/Power2025914[[#This Row],[Use (hr/yr)]]</f>
        <v>11.621123469809627</v>
      </c>
      <c r="AY16" s="217">
        <f>Power2025914[[#This Row],[PriceL]]*(VLOOKUP(Power2025914[[#This Row],[ASABEtype]],ASABECoefficients813[#Data],2)*(Power2025914[[#This Row],[Life (yr)]]*Power2025914[[#This Row],[Use (hr/yr)]]/1000)^VLOOKUP(Power2025914[[#This Row],[ASABEtype]],ASABECoefficients813[#Data],3))/Power2025914[[#This Row],[Life (yr)]]/Power2025914[[#This Row],[Use (hr/yr)]]+Power2025914[[#This Row],[Fuel (gal/hr)]]*$BP$10*$BP$11*(10*Power2025914[[#This Row],[Life used (%)]])</f>
        <v>3.4</v>
      </c>
      <c r="AZ16" s="232">
        <f>Power2025914[[#This Row],[Fuel (gal/hph)]]*Power2025914[[#This Row],[HP]]</f>
        <v>4.62</v>
      </c>
      <c r="BA16" s="233">
        <f t="shared" si="3"/>
        <v>18.591038039798434</v>
      </c>
      <c r="BB16" s="164"/>
      <c r="BC16" s="152" t="s">
        <v>536</v>
      </c>
      <c r="BD16" s="219">
        <v>0.22</v>
      </c>
      <c r="BE16" s="219">
        <v>1.8</v>
      </c>
      <c r="BF16" s="219">
        <v>1500</v>
      </c>
      <c r="BG16" s="219">
        <v>0.65290000000000004</v>
      </c>
      <c r="BH16" s="219">
        <v>0.15110000000000001</v>
      </c>
      <c r="BI16" s="219">
        <v>0</v>
      </c>
      <c r="BJ16" s="219">
        <v>7.7999999999999996E-3</v>
      </c>
      <c r="BK16" s="149">
        <f t="shared" si="4"/>
        <v>1.525225E-2</v>
      </c>
      <c r="BL16" s="219">
        <v>0.1235</v>
      </c>
      <c r="BM16" s="183"/>
      <c r="BO16" s="144" t="s">
        <v>537</v>
      </c>
      <c r="BP16" s="236">
        <v>68.61</v>
      </c>
    </row>
    <row r="17" spans="1:71">
      <c r="A17" s="168"/>
      <c r="B17" s="144" t="str">
        <f>Implements712[[#This Row],[Implement type]]&amp;", "&amp;Implements712[[#This Row],[Width]]&amp;" "&amp;Implements712[[#This Row],[Width Unit]]</f>
        <v>Cotton stalk puller, 36 Ft</v>
      </c>
      <c r="C17" s="170" t="s">
        <v>631</v>
      </c>
      <c r="D17" s="171">
        <v>36</v>
      </c>
      <c r="E17" s="170" t="s">
        <v>402</v>
      </c>
      <c r="F17" s="171"/>
      <c r="G17" s="170" t="s">
        <v>636</v>
      </c>
      <c r="H17" s="172">
        <v>42750</v>
      </c>
      <c r="I17" s="173">
        <v>0.1</v>
      </c>
      <c r="J17" s="174">
        <f t="shared" si="0"/>
        <v>47500</v>
      </c>
      <c r="K17" s="198">
        <f>VLOOKUP(Implements712[[#This Row],[ASABEtype]],ASABECoefficients813[],4,FALSE)/Implements712[[#This Row],[Use (hr/yr)]]</f>
        <v>13.333333333333334</v>
      </c>
      <c r="L17" s="199">
        <v>150</v>
      </c>
      <c r="M17" s="176">
        <f>IF(Implements712[[#This Row],[Use basis]]="hour",,L17*(D17*P17*Q17)/8.25)</f>
        <v>3894.5454545454545</v>
      </c>
      <c r="N17" s="200" t="s">
        <v>654</v>
      </c>
      <c r="O17" s="171" t="s">
        <v>550</v>
      </c>
      <c r="P17" s="171">
        <v>7</v>
      </c>
      <c r="Q17" s="173">
        <v>0.85</v>
      </c>
      <c r="R17" s="173">
        <v>1.1000000000000001</v>
      </c>
      <c r="S17" s="171">
        <v>225</v>
      </c>
      <c r="T17"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0.30821165384280197</v>
      </c>
      <c r="U17" s="179">
        <f>Implements712[[#This Row],[TradeIn%]]*Implements712[[#This Row],[PriceL]]</f>
        <v>14640.053557533094</v>
      </c>
      <c r="V17" s="180">
        <f>(Implements712[[#This Row],[PriceP]]-Implements712[[#This Row],[TradeIn$]])/Implements712[[#This Row],[Life (yr)]]/Implements712[[#This Row],[Use (hr/yr)]]</f>
        <v>14.054973221233451</v>
      </c>
      <c r="W17" s="180">
        <f>((Implements712[[#This Row],[PriceP]]+Implements712[[#This Row],[TradeIn$]])/2*($BP$7+$BP$8+$BP$9)+Implements712[[#This Row],[Shed (ft^2)]]*$BP$12)/Implements712[[#This Row],[Use (hr/yr)]]</f>
        <v>17.651815353159485</v>
      </c>
      <c r="X17" s="180">
        <f>Implements712[[#This Row],[PriceL]]*(VLOOKUP(Implements712[[#This Row],[ASABEtype]],$BC$6:$BM$52,2)*(Implements712[[#This Row],[Life (yr)]]*Implements712[[#This Row],[Use (hr/yr)]]/1000)^VLOOKUP(Implements712[[#This Row],[ASABEtype]],$BC$6:$BM$52,3))/Implements712[[#This Row],[Life (yr)]]/Implements712[[#This Row],[Use (hr/yr)]]</f>
        <v>14.415623925193868</v>
      </c>
      <c r="Y17" s="180">
        <f>Implements712[[#This Row],[Depr ($/hr)]]+Implements712[[#This Row],[OH ($/hr)]]</f>
        <v>31.706788574392938</v>
      </c>
      <c r="Z17" s="180">
        <f>(Implements712[[#This Row],[PriceP]]-Implements712[[#This Row],[TradeIn$]])/Implements712[[#This Row],[Life (yr)]]/Implements712[[#This Row],[Use (ac/yr)]]</f>
        <v>0.54133300221837533</v>
      </c>
      <c r="AA17" s="201">
        <f>((Implements712[[#This Row],[PriceP]]+Implements712[[#This Row],[TradeIn$]])/2*($BP$7+$BP$8+$BP$9)+Implements712[[#This Row],[Shed (ft^2)]]*$BP$12)/Implements712[[#This Row],[Use (ac/yr)]]</f>
        <v>0.67986683783177293</v>
      </c>
      <c r="AB17"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0.55522361056418956</v>
      </c>
      <c r="AC17" s="182">
        <f>IF(Implements712[[#This Row],[Use basis]]="hour","-",$BP$18/(Implements712[[#This Row],[Width]]*Implements712[[#This Row],[Speed]]*Implements712[[#This Row],[Efficiency]]))</f>
        <v>3.8515406162464988E-2</v>
      </c>
      <c r="AD17" s="163">
        <f>IF(Implements712[[#This Row],[Use basis]]=$N$128,Implements712[[#This Row],[Ownership costs ($/hr)]],SUM(Implements712[[#This Row],[Depr ($/ac)2]:[OH ($/ac)]]))</f>
        <v>1.2211998400501483</v>
      </c>
      <c r="AE17" s="163"/>
      <c r="AF17" s="163" t="s">
        <v>646</v>
      </c>
      <c r="AG17" s="163"/>
      <c r="AH17" s="202" t="str">
        <f>CONCATENATE(AI17&amp;" "&amp;AJ17)</f>
        <v>130 HP MFWD</v>
      </c>
      <c r="AI17" s="203">
        <v>130</v>
      </c>
      <c r="AJ17" s="171" t="s">
        <v>486</v>
      </c>
      <c r="AK17" s="227">
        <v>139500</v>
      </c>
      <c r="AL17" s="228">
        <v>0.1</v>
      </c>
      <c r="AM17" s="229">
        <f>AK17/(1-AL17)</f>
        <v>155000</v>
      </c>
      <c r="AN17" s="208">
        <f>VLOOKUP(Power2025914[[#This Row],[ASABEtype]],$BC$6:$BM$52,4,FALSE)</f>
        <v>8000</v>
      </c>
      <c r="AO17" s="206"/>
      <c r="AP17" s="209">
        <f>VLOOKUP(Power2025914[[#This Row],[ASABEtype]],ASABECoefficients813[],4,FALSE)/Power2025914[[#This Row],[Use (hr/yr)]]*(1-Power2025914[[#This Row],[Life used (%)]])</f>
        <v>20</v>
      </c>
      <c r="AQ17" s="171">
        <v>400</v>
      </c>
      <c r="AR17" s="171">
        <v>4.3999999999999997E-2</v>
      </c>
      <c r="AS17" s="171" t="s">
        <v>487</v>
      </c>
      <c r="AT17" s="171">
        <v>130</v>
      </c>
      <c r="AU17" s="213">
        <f>(VLOOKUP(Power2025914[[#This Row],[ASABEtype]],ASABECoefficients813[#Data],5)-VLOOKUP(Power2025914[[#This Row],[ASABEtype]],ASABECoefficients813[#Data],6)*MIN(Power2025914[[#This Row],[Lifespan (hours)]]/Power2025914[[#This Row],[Use (hr/yr)]],Power2025914[[#This Row],[Life (yr)]])^0.5-VLOOKUP(Power2025914[[#This Row],[ASABEtype]],ASABECoefficients813[#Data],7)*Power2025914[[#This Row],[Use (hr/yr)]]^0.5+VLOOKUP(Power2025914[[#This Row],[ASABEtype]],ASABECoefficients813[#Data],8)*$BP$17)^2+0.25*VLOOKUP(Power2025914[[#This Row],[ASABEtype]],ASABECoefficients813[#Data],9)</f>
        <v>0.29400804047164164</v>
      </c>
      <c r="AV17" s="230">
        <f>Power2025914[[#This Row],[TradeIn%]]*Power2025914[[#This Row],[PriceL]]</f>
        <v>45571.246273104451</v>
      </c>
      <c r="AW17" s="233">
        <f>(Power2025914[[#This Row],[PriceP]]-Power2025914[[#This Row],[TradeIn$]])/Power2025914[[#This Row],[Life (yr)]]/Power2025914[[#This Row],[Use (hr/yr)]]</f>
        <v>11.741094215861944</v>
      </c>
      <c r="AX17" s="216">
        <f>((Power2025914[[#This Row],[PriceP]]+Power2025914[[#This Row],[TradeIn$]])/2*($BP$7+$BP$8+$BP$9)+Power2025914[[#This Row],[Shed (ft^2)]]*$BP$12)/Power2025914[[#This Row],[Use (hr/yr)]]</f>
        <v>20.155158974358727</v>
      </c>
      <c r="AY17" s="217">
        <f>Power2025914[[#This Row],[PriceL]]*(VLOOKUP(Power2025914[[#This Row],[ASABEtype]],ASABECoefficients813[#Data],2)*(Power2025914[[#This Row],[Life (yr)]]*Power2025914[[#This Row],[Use (hr/yr)]]/1000)^VLOOKUP(Power2025914[[#This Row],[ASABEtype]],ASABECoefficients813[#Data],3))/Power2025914[[#This Row],[Life (yr)]]/Power2025914[[#This Row],[Use (hr/yr)]]+Power2025914[[#This Row],[Fuel (gal/hr)]]*$BP$10*$BP$11*(10*Power2025914[[#This Row],[Life used (%)]])</f>
        <v>6.2</v>
      </c>
      <c r="AZ17" s="232">
        <f>Power2025914[[#This Row],[Fuel (gal/hph)]]*Power2025914[[#This Row],[HP]]</f>
        <v>5.72</v>
      </c>
      <c r="BA17" s="233">
        <f t="shared" si="3"/>
        <v>31.896253190220669</v>
      </c>
      <c r="BB17" s="164"/>
      <c r="BC17" s="152" t="s">
        <v>538</v>
      </c>
      <c r="BD17" s="219">
        <v>0.15</v>
      </c>
      <c r="BE17" s="219">
        <v>1.6</v>
      </c>
      <c r="BF17" s="219">
        <v>2500</v>
      </c>
      <c r="BG17" s="219">
        <v>0.65290000000000004</v>
      </c>
      <c r="BH17" s="219">
        <v>0.15110000000000001</v>
      </c>
      <c r="BI17" s="219">
        <v>0</v>
      </c>
      <c r="BJ17" s="219">
        <v>7.7999999999999996E-3</v>
      </c>
      <c r="BK17" s="149">
        <f t="shared" si="4"/>
        <v>1.525225E-2</v>
      </c>
      <c r="BL17" s="219">
        <v>0.1235</v>
      </c>
      <c r="BM17" s="183"/>
      <c r="BO17" s="149" t="s">
        <v>539</v>
      </c>
      <c r="BP17" s="237">
        <f>BP14*BP16/BP15</f>
        <v>96.491183820084331</v>
      </c>
    </row>
    <row r="18" spans="1:71">
      <c r="B18" s="144" t="str">
        <f>Implements712[[#This Row],[Implement type]]&amp;", "&amp;Implements712[[#This Row],[Width]]&amp;" "&amp;Implements712[[#This Row],[Width Unit]]</f>
        <v>Cotton stalk puller, 24 Ft</v>
      </c>
      <c r="C18" s="170" t="s">
        <v>631</v>
      </c>
      <c r="D18" s="171">
        <v>24</v>
      </c>
      <c r="E18" s="170" t="s">
        <v>402</v>
      </c>
      <c r="F18" s="171"/>
      <c r="G18" s="170" t="s">
        <v>234</v>
      </c>
      <c r="H18" s="172"/>
      <c r="I18" s="173"/>
      <c r="J18" s="174">
        <f t="shared" si="0"/>
        <v>0</v>
      </c>
      <c r="K18" s="198" t="e">
        <f>VLOOKUP(Implements712[[#This Row],[ASABEtype]],ASABECoefficients813[],4,FALSE)/Implements712[[#This Row],[Use (hr/yr)]]</f>
        <v>#N/A</v>
      </c>
      <c r="L18" s="199"/>
      <c r="M18" s="176">
        <f>IF(Implements712[[#This Row],[Use basis]]="hour",,L18*(D18*P18*Q18)/8.25)</f>
        <v>0</v>
      </c>
      <c r="N18" s="200" t="s">
        <v>654</v>
      </c>
      <c r="O18" s="171"/>
      <c r="P18" s="171"/>
      <c r="Q18" s="173"/>
      <c r="R18" s="173"/>
      <c r="S18" s="171"/>
      <c r="T18" s="178" t="e">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#N/A</v>
      </c>
      <c r="U18" s="179" t="e">
        <f>Implements712[[#This Row],[TradeIn%]]*Implements712[[#This Row],[PriceL]]</f>
        <v>#N/A</v>
      </c>
      <c r="V18" s="180" t="e">
        <f>(Implements712[[#This Row],[PriceP]]-Implements712[[#This Row],[TradeIn$]])/Implements712[[#This Row],[Life (yr)]]/Implements712[[#This Row],[Use (hr/yr)]]</f>
        <v>#N/A</v>
      </c>
      <c r="W18" s="180" t="e">
        <f>((Implements712[[#This Row],[PriceP]]+Implements712[[#This Row],[TradeIn$]])/2*($BP$7+$BP$8+$BP$9)+Implements712[[#This Row],[Shed (ft^2)]]*$BP$12)/Implements712[[#This Row],[Use (hr/yr)]]</f>
        <v>#N/A</v>
      </c>
      <c r="X18" s="180" t="e">
        <f>Implements712[[#This Row],[PriceL]]*(VLOOKUP(Implements712[[#This Row],[ASABEtype]],$BC$6:$BM$52,2)*(Implements712[[#This Row],[Life (yr)]]*Implements712[[#This Row],[Use (hr/yr)]]/1000)^VLOOKUP(Implements712[[#This Row],[ASABEtype]],$BC$6:$BM$52,3))/Implements712[[#This Row],[Life (yr)]]/Implements712[[#This Row],[Use (hr/yr)]]</f>
        <v>#N/A</v>
      </c>
      <c r="Y18" s="180" t="e">
        <f>Implements712[[#This Row],[Depr ($/hr)]]+Implements712[[#This Row],[OH ($/hr)]]</f>
        <v>#N/A</v>
      </c>
      <c r="Z18" s="180" t="e">
        <f>(Implements712[[#This Row],[PriceP]]-Implements712[[#This Row],[TradeIn$]])/Implements712[[#This Row],[Life (yr)]]/Implements712[[#This Row],[Use (ac/yr)]]</f>
        <v>#N/A</v>
      </c>
      <c r="AA18" s="201" t="e">
        <f>((Implements712[[#This Row],[PriceP]]+Implements712[[#This Row],[TradeIn$]])/2*($BP$7+$BP$8+$BP$9)+Implements712[[#This Row],[Shed (ft^2)]]*$BP$12)/Implements712[[#This Row],[Use (ac/yr)]]</f>
        <v>#N/A</v>
      </c>
      <c r="AB18" s="181" t="e">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#N/A</v>
      </c>
      <c r="AC18" s="182" t="e">
        <f>IF(Implements712[[#This Row],[Use basis]]="hour","-",$BP$18/(Implements712[[#This Row],[Width]]*Implements712[[#This Row],[Speed]]*Implements712[[#This Row],[Efficiency]]))</f>
        <v>#DIV/0!</v>
      </c>
      <c r="AD18" s="163" t="e">
        <f>IF(Implements712[[#This Row],[Use basis]]=$N$128,Implements712[[#This Row],[Ownership costs ($/hr)]],SUM(Implements712[[#This Row],[Depr ($/ac)2]:[OH ($/ac)]]))</f>
        <v>#N/A</v>
      </c>
      <c r="AE18" s="163"/>
      <c r="AF18" s="163" t="s">
        <v>646</v>
      </c>
      <c r="AG18" s="163"/>
      <c r="AH18" s="202" t="str">
        <f t="shared" si="1"/>
        <v>160 HP MFWD</v>
      </c>
      <c r="AI18" s="203">
        <v>160</v>
      </c>
      <c r="AJ18" s="171" t="s">
        <v>486</v>
      </c>
      <c r="AK18" s="227">
        <v>166500</v>
      </c>
      <c r="AL18" s="228">
        <v>0.1</v>
      </c>
      <c r="AM18" s="229">
        <f t="shared" si="2"/>
        <v>185000</v>
      </c>
      <c r="AN18" s="208">
        <f>VLOOKUP(Power2025914[[#This Row],[ASABEtype]],$BC$6:$BM$52,4,FALSE)</f>
        <v>8000</v>
      </c>
      <c r="AO18" s="206"/>
      <c r="AP18" s="209">
        <f>VLOOKUP(Power2025914[[#This Row],[ASABEtype]],ASABECoefficients813[],4,FALSE)/Power2025914[[#This Row],[Use (hr/yr)]]*(1-Power2025914[[#This Row],[Life used (%)]])</f>
        <v>20</v>
      </c>
      <c r="AQ18" s="171">
        <v>400</v>
      </c>
      <c r="AR18" s="171">
        <v>4.3999999999999997E-2</v>
      </c>
      <c r="AS18" s="171" t="s">
        <v>487</v>
      </c>
      <c r="AT18" s="171">
        <v>200</v>
      </c>
      <c r="AU18" s="213">
        <f>(VLOOKUP(Power2025914[[#This Row],[ASABEtype]],ASABECoefficients813[#Data],5)-VLOOKUP(Power2025914[[#This Row],[ASABEtype]],ASABECoefficients813[#Data],6)*MIN(Power2025914[[#This Row],[Lifespan (hours)]]/Power2025914[[#This Row],[Use (hr/yr)]],Power2025914[[#This Row],[Life (yr)]])^0.5-VLOOKUP(Power2025914[[#This Row],[ASABEtype]],ASABECoefficients813[#Data],7)*Power2025914[[#This Row],[Use (hr/yr)]]^0.5+VLOOKUP(Power2025914[[#This Row],[ASABEtype]],ASABECoefficients813[#Data],8)*$BP$17)^2+0.25*VLOOKUP(Power2025914[[#This Row],[ASABEtype]],ASABECoefficients813[#Data],9)</f>
        <v>0.29400804047164164</v>
      </c>
      <c r="AV18" s="230">
        <f>Power2025914[[#This Row],[TradeIn%]]*Power2025914[[#This Row],[PriceL]]</f>
        <v>54391.487487253704</v>
      </c>
      <c r="AW18" s="233">
        <f>(Power2025914[[#This Row],[PriceP]]-Power2025914[[#This Row],[TradeIn$]])/Power2025914[[#This Row],[Life (yr)]]/Power2025914[[#This Row],[Use (hr/yr)]]</f>
        <v>14.013564064093286</v>
      </c>
      <c r="AX18" s="216">
        <f>((Power2025914[[#This Row],[PriceP]]+Power2025914[[#This Row],[TradeIn$]])/2*($BP$7+$BP$8+$BP$9)+Power2025914[[#This Row],[Shed (ft^2)]]*$BP$12)/Power2025914[[#This Row],[Use (hr/yr)]]</f>
        <v>24.14583490487977</v>
      </c>
      <c r="AY18" s="217">
        <f>Power2025914[[#This Row],[PriceL]]*(VLOOKUP(Power2025914[[#This Row],[ASABEtype]],ASABECoefficients813[#Data],2)*(Power2025914[[#This Row],[Life (yr)]]*Power2025914[[#This Row],[Use (hr/yr)]]/1000)^VLOOKUP(Power2025914[[#This Row],[ASABEtype]],ASABECoefficients813[#Data],3))/Power2025914[[#This Row],[Life (yr)]]/Power2025914[[#This Row],[Use (hr/yr)]]+Power2025914[[#This Row],[Fuel (gal/hr)]]*$BP$10*$BP$11*(10*Power2025914[[#This Row],[Life used (%)]])</f>
        <v>7.4</v>
      </c>
      <c r="AZ18" s="232">
        <f>Power2025914[[#This Row],[Fuel (gal/hph)]]*Power2025914[[#This Row],[HP]]</f>
        <v>7.0399999999999991</v>
      </c>
      <c r="BA18" s="233">
        <f t="shared" si="3"/>
        <v>38.159398968973058</v>
      </c>
      <c r="BB18" s="164"/>
      <c r="BC18" s="152" t="s">
        <v>420</v>
      </c>
      <c r="BD18" s="219">
        <v>0.03</v>
      </c>
      <c r="BE18" s="219">
        <v>2</v>
      </c>
      <c r="BF18" s="219">
        <v>4000</v>
      </c>
      <c r="BG18" s="219">
        <v>0.65290000000000004</v>
      </c>
      <c r="BH18" s="219">
        <v>0.15110000000000001</v>
      </c>
      <c r="BI18" s="219">
        <v>0</v>
      </c>
      <c r="BJ18" s="219">
        <v>6.0000000000000001E-3</v>
      </c>
      <c r="BK18" s="149">
        <f t="shared" si="4"/>
        <v>1.525225E-2</v>
      </c>
      <c r="BL18" s="219">
        <v>0.1235</v>
      </c>
      <c r="BM18" s="183"/>
      <c r="BO18" s="149" t="s">
        <v>540</v>
      </c>
      <c r="BP18" s="219">
        <v>8.25</v>
      </c>
      <c r="BS18" s="144" t="s">
        <v>821</v>
      </c>
    </row>
    <row r="19" spans="1:71">
      <c r="B19" s="144" t="str">
        <f>Implements712[[#This Row],[Implement type]]&amp;", "&amp;Implements712[[#This Row],[Width]]&amp;" "&amp;Implements712[[#This Row],[Width Unit]]&amp; ", per "&amp;Implements712[[#This Row],[Use basis]]</f>
        <v>Anhydrous applicator, 30 Ft Folding, per acre</v>
      </c>
      <c r="C19" s="170" t="s">
        <v>404</v>
      </c>
      <c r="D19" s="171">
        <v>30</v>
      </c>
      <c r="E19" s="238" t="str">
        <f>IF(D19&gt;15,"Ft Folding","Ft")</f>
        <v>Ft Folding</v>
      </c>
      <c r="F19" s="171"/>
      <c r="G19" s="170"/>
      <c r="H19" s="227">
        <v>52000</v>
      </c>
      <c r="I19" s="228">
        <v>0.1</v>
      </c>
      <c r="J19" s="174">
        <f>H19/(1-I19)</f>
        <v>57777.777777777774</v>
      </c>
      <c r="K19" s="198">
        <f>VLOOKUP(Implements712[[#This Row],[ASABEtype]],ASABECoefficients813[],4,FALSE)/Implements712[[#This Row],[Use (hr/yr)]]</f>
        <v>16</v>
      </c>
      <c r="L19" s="171">
        <v>75</v>
      </c>
      <c r="M19" s="176">
        <f>IF(Implements712[[#This Row],[Use basis]]="hour",,L19*(D19*P19*Q19)/8.25)</f>
        <v>1145.4545454545453</v>
      </c>
      <c r="N19" s="177" t="s">
        <v>654</v>
      </c>
      <c r="O19" s="171" t="s">
        <v>405</v>
      </c>
      <c r="P19" s="171">
        <v>6</v>
      </c>
      <c r="Q19" s="228">
        <v>0.7</v>
      </c>
      <c r="R19" s="228">
        <v>1.1499999999999999</v>
      </c>
      <c r="S19" s="171">
        <v>180</v>
      </c>
      <c r="T19"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0.26864156752737406</v>
      </c>
      <c r="U19" s="179">
        <f>Implements712[[#This Row],[TradeIn%]]*Implements712[[#This Row],[PriceL]]</f>
        <v>15521.5127904705</v>
      </c>
      <c r="V19" s="180">
        <f>(Implements712[[#This Row],[PriceP]]-Implements712[[#This Row],[TradeIn$]])/Implements712[[#This Row],[Life (yr)]]/Implements712[[#This Row],[Use (hr/yr)]]</f>
        <v>30.398739341274585</v>
      </c>
      <c r="W19" s="180">
        <f>((Implements712[[#This Row],[PriceP]]+Implements712[[#This Row],[TradeIn$]])/2*($BP$7+$BP$8+$BP$9)+Implements712[[#This Row],[Shed (ft^2)]]*$BP$12)/Implements712[[#This Row],[Use (hr/yr)]]</f>
        <v>40.632333999869751</v>
      </c>
      <c r="X19" s="180">
        <f>Implements712[[#This Row],[PriceL]]*(VLOOKUP(Implements712[[#This Row],[ASABEtype]],$BC$6:$BM$52,2)*(Implements712[[#This Row],[Life (yr)]]*Implements712[[#This Row],[Use (hr/yr)]]/1000)^VLOOKUP(Implements712[[#This Row],[ASABEtype]],$BC$6:$BM$52,3))/Implements712[[#This Row],[Life (yr)]]/Implements712[[#This Row],[Use (hr/yr)]]</f>
        <v>38.446406851188989</v>
      </c>
      <c r="Y19" s="180">
        <f>Implements712[[#This Row],[Depr ($/hr)]]+Implements712[[#This Row],[OH ($/hr)]]</f>
        <v>71.031073341144335</v>
      </c>
      <c r="Z19" s="180">
        <f>(Implements712[[#This Row],[PriceP]]-Implements712[[#This Row],[TradeIn$]])/Implements712[[#This Row],[Life (yr)]]/Implements712[[#This Row],[Use (ac/yr)]]</f>
        <v>1.9903936473453598</v>
      </c>
      <c r="AA19" s="201">
        <f>((Implements712[[#This Row],[PriceP]]+Implements712[[#This Row],[TradeIn$]])/2*($BP$7+$BP$8+$BP$9)+Implements712[[#This Row],[Shed (ft^2)]]*$BP$12)/Implements712[[#This Row],[Use (ac/yr)]]</f>
        <v>2.6604504404676628</v>
      </c>
      <c r="AB19"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2.5173242581135655</v>
      </c>
      <c r="AC19" s="182">
        <f>IF(Implements712[[#This Row],[Use basis]]="hour","-",$BP$18/(Implements712[[#This Row],[Width]]*Implements712[[#This Row],[Speed]]*Implements712[[#This Row],[Efficiency]]))</f>
        <v>6.5476190476190479E-2</v>
      </c>
      <c r="AD19" s="163">
        <f>IF(Implements712[[#This Row],[Use basis]]=$N$128,Implements712[[#This Row],[Ownership costs ($/hr)]],SUM(Implements712[[#This Row],[Depr ($/ac)2]:[OH ($/ac)]]))</f>
        <v>4.6508440878130228</v>
      </c>
      <c r="AE19" s="163"/>
      <c r="AF19" s="144" t="s">
        <v>406</v>
      </c>
      <c r="AG19" s="163"/>
      <c r="AH19" s="202" t="str">
        <f t="shared" si="1"/>
        <v>200 HP MFWD</v>
      </c>
      <c r="AI19" s="203">
        <v>200</v>
      </c>
      <c r="AJ19" s="171" t="s">
        <v>486</v>
      </c>
      <c r="AK19" s="227">
        <v>207000</v>
      </c>
      <c r="AL19" s="228">
        <v>0.1</v>
      </c>
      <c r="AM19" s="229">
        <f t="shared" si="2"/>
        <v>230000</v>
      </c>
      <c r="AN19" s="208">
        <f>VLOOKUP(Power2025914[[#This Row],[ASABEtype]],$BC$6:$BM$52,4,FALSE)</f>
        <v>8000</v>
      </c>
      <c r="AO19" s="206"/>
      <c r="AP19" s="209">
        <f>VLOOKUP(Power2025914[[#This Row],[ASABEtype]],ASABECoefficients813[],4,FALSE)/Power2025914[[#This Row],[Use (hr/yr)]]*(1-Power2025914[[#This Row],[Life used (%)]])</f>
        <v>20</v>
      </c>
      <c r="AQ19" s="171">
        <v>400</v>
      </c>
      <c r="AR19" s="171">
        <v>4.3999999999999997E-2</v>
      </c>
      <c r="AS19" s="171" t="s">
        <v>487</v>
      </c>
      <c r="AT19" s="171">
        <v>210</v>
      </c>
      <c r="AU19" s="213">
        <f>(VLOOKUP(Power2025914[[#This Row],[ASABEtype]],ASABECoefficients813[#Data],5)-VLOOKUP(Power2025914[[#This Row],[ASABEtype]],ASABECoefficients813[#Data],6)*MIN(Power2025914[[#This Row],[Lifespan (hours)]]/Power2025914[[#This Row],[Use (hr/yr)]],Power2025914[[#This Row],[Life (yr)]])^0.5-VLOOKUP(Power2025914[[#This Row],[ASABEtype]],ASABECoefficients813[#Data],7)*Power2025914[[#This Row],[Use (hr/yr)]]^0.5+VLOOKUP(Power2025914[[#This Row],[ASABEtype]],ASABECoefficients813[#Data],8)*$BP$17)^2+0.25*VLOOKUP(Power2025914[[#This Row],[ASABEtype]],ASABECoefficients813[#Data],9)</f>
        <v>0.29400804047164164</v>
      </c>
      <c r="AV19" s="230">
        <f>Power2025914[[#This Row],[TradeIn%]]*Power2025914[[#This Row],[PriceL]]</f>
        <v>67621.849308477584</v>
      </c>
      <c r="AW19" s="233">
        <f>(Power2025914[[#This Row],[PriceP]]-Power2025914[[#This Row],[TradeIn$]])/Power2025914[[#This Row],[Life (yr)]]/Power2025914[[#This Row],[Use (hr/yr)]]</f>
        <v>17.422268836440299</v>
      </c>
      <c r="AX19" s="216">
        <f>((Power2025914[[#This Row],[PriceP]]+Power2025914[[#This Row],[TradeIn$]])/2*($BP$7+$BP$8+$BP$9)+Power2025914[[#This Row],[Shed (ft^2)]]*$BP$12)/Power2025914[[#This Row],[Use (hr/yr)]]</f>
        <v>29.94184880066134</v>
      </c>
      <c r="AY19" s="217">
        <f>Power2025914[[#This Row],[PriceL]]*(VLOOKUP(Power2025914[[#This Row],[ASABEtype]],ASABECoefficients813[#Data],2)*(Power2025914[[#This Row],[Life (yr)]]*Power2025914[[#This Row],[Use (hr/yr)]]/1000)^VLOOKUP(Power2025914[[#This Row],[ASABEtype]],ASABECoefficients813[#Data],3))/Power2025914[[#This Row],[Life (yr)]]/Power2025914[[#This Row],[Use (hr/yr)]]+Power2025914[[#This Row],[Fuel (gal/hr)]]*$BP$10*$BP$11*(10*Power2025914[[#This Row],[Life used (%)]])</f>
        <v>9.1999999999999993</v>
      </c>
      <c r="AZ19" s="232">
        <f>Power2025914[[#This Row],[Fuel (gal/hph)]]*Power2025914[[#This Row],[HP]]</f>
        <v>8.7999999999999989</v>
      </c>
      <c r="BA19" s="233">
        <f t="shared" si="3"/>
        <v>47.364117637101643</v>
      </c>
      <c r="BB19" s="164"/>
      <c r="BC19" s="152" t="s">
        <v>541</v>
      </c>
      <c r="BD19" s="219">
        <v>0.16</v>
      </c>
      <c r="BE19" s="219">
        <v>1.6</v>
      </c>
      <c r="BF19" s="219">
        <v>2000</v>
      </c>
      <c r="BG19" s="219">
        <v>0.80910000000000004</v>
      </c>
      <c r="BH19" s="219">
        <v>0.1109</v>
      </c>
      <c r="BI19" s="219">
        <v>0</v>
      </c>
      <c r="BJ19" s="219">
        <v>1.4E-3</v>
      </c>
      <c r="BK19" s="149">
        <f t="shared" si="4"/>
        <v>1.605289E-2</v>
      </c>
      <c r="BL19" s="219">
        <v>0.12670000000000001</v>
      </c>
      <c r="BM19" s="183"/>
    </row>
    <row r="20" spans="1:71">
      <c r="B20" s="144" t="str">
        <f>Implements712[[#This Row],[Implement type]]&amp;", "&amp;Implements712[[#This Row],[Width]]&amp;" "&amp;Implements712[[#This Row],[Width Unit]]&amp; ", per "&amp;Implements712[[#This Row],[Use basis]]</f>
        <v>Anhydrous applicator, 40 Ft Folding, per acre</v>
      </c>
      <c r="C20" s="170" t="s">
        <v>404</v>
      </c>
      <c r="D20" s="171">
        <v>40</v>
      </c>
      <c r="E20" s="238" t="str">
        <f>IF(D20&gt;15,"Ft Folding","Ft")</f>
        <v>Ft Folding</v>
      </c>
      <c r="F20" s="171"/>
      <c r="G20" s="170"/>
      <c r="H20" s="227">
        <v>72500</v>
      </c>
      <c r="I20" s="228">
        <v>0.1</v>
      </c>
      <c r="J20" s="174">
        <f>H20/(1-I20)</f>
        <v>80555.555555555547</v>
      </c>
      <c r="K20" s="198">
        <f>VLOOKUP(Implements712[[#This Row],[ASABEtype]],ASABECoefficients813[],4,FALSE)/Implements712[[#This Row],[Use (hr/yr)]]</f>
        <v>16</v>
      </c>
      <c r="L20" s="171">
        <v>75</v>
      </c>
      <c r="M20" s="176">
        <f>IF(Implements712[[#This Row],[Use basis]]="hour",,L20*(D20*P20*Q20)/8.25)</f>
        <v>1527.2727272727273</v>
      </c>
      <c r="N20" s="177" t="s">
        <v>654</v>
      </c>
      <c r="O20" s="171" t="s">
        <v>405</v>
      </c>
      <c r="P20" s="171">
        <v>6</v>
      </c>
      <c r="Q20" s="228">
        <v>0.7</v>
      </c>
      <c r="R20" s="228">
        <v>1.1499999999999999</v>
      </c>
      <c r="S20" s="171">
        <v>200</v>
      </c>
      <c r="T20"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0.26864156752737406</v>
      </c>
      <c r="U20" s="179">
        <f>Implements712[[#This Row],[TradeIn%]]*Implements712[[#This Row],[PriceL]]</f>
        <v>21640.570717482908</v>
      </c>
      <c r="V20" s="180">
        <f>(Implements712[[#This Row],[PriceP]]-Implements712[[#This Row],[TradeIn$]])/Implements712[[#This Row],[Life (yr)]]/Implements712[[#This Row],[Use (hr/yr)]]</f>
        <v>42.38285773543091</v>
      </c>
      <c r="W20" s="180">
        <f>((Implements712[[#This Row],[PriceP]]+Implements712[[#This Row],[TradeIn$]])/2*($BP$7+$BP$8+$BP$9)+Implements712[[#This Row],[Shed (ft^2)]]*$BP$12)/Implements712[[#This Row],[Use (hr/yr)]]</f>
        <v>56.107260544690192</v>
      </c>
      <c r="X20" s="180">
        <f>Implements712[[#This Row],[PriceL]]*(VLOOKUP(Implements712[[#This Row],[ASABEtype]],$BC$6:$BM$52,2)*(Implements712[[#This Row],[Life (yr)]]*Implements712[[#This Row],[Use (hr/yr)]]/1000)^VLOOKUP(Implements712[[#This Row],[ASABEtype]],$BC$6:$BM$52,3))/Implements712[[#This Row],[Life (yr)]]/Implements712[[#This Row],[Use (hr/yr)]]</f>
        <v>53.603163398292345</v>
      </c>
      <c r="Y20" s="180">
        <f>Implements712[[#This Row],[Depr ($/hr)]]+Implements712[[#This Row],[OH ($/hr)]]</f>
        <v>98.490118280121095</v>
      </c>
      <c r="Z20" s="180">
        <f>(Implements712[[#This Row],[PriceP]]-Implements712[[#This Row],[TradeIn$]])/Implements712[[#This Row],[Life (yr)]]/Implements712[[#This Row],[Use (ac/yr)]]</f>
        <v>2.081301049507768</v>
      </c>
      <c r="AA20" s="201">
        <f>((Implements712[[#This Row],[PriceP]]+Implements712[[#This Row],[TradeIn$]])/2*($BP$7+$BP$8+$BP$9)+Implements712[[#This Row],[Shed (ft^2)]]*$BP$12)/Implements712[[#This Row],[Use (ac/yr)]]</f>
        <v>2.7552672588910361</v>
      </c>
      <c r="AB20"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2.6322982025947135</v>
      </c>
      <c r="AC20" s="182">
        <f>IF(Implements712[[#This Row],[Use basis]]="hour","-",$BP$18/(Implements712[[#This Row],[Width]]*Implements712[[#This Row],[Speed]]*Implements712[[#This Row],[Efficiency]]))</f>
        <v>4.9107142857142856E-2</v>
      </c>
      <c r="AD20" s="163">
        <f>IF(Implements712[[#This Row],[Use basis]]=$N$128,Implements712[[#This Row],[Ownership costs ($/hr)]],SUM(Implements712[[#This Row],[Depr ($/ac)2]:[OH ($/ac)]]))</f>
        <v>4.836568308398804</v>
      </c>
      <c r="AE20" s="163"/>
      <c r="AF20" s="144" t="s">
        <v>406</v>
      </c>
      <c r="AG20" s="163"/>
      <c r="AH20" s="202" t="str">
        <f t="shared" si="1"/>
        <v>280 HP MFWD</v>
      </c>
      <c r="AI20" s="203">
        <v>280</v>
      </c>
      <c r="AJ20" s="171" t="s">
        <v>486</v>
      </c>
      <c r="AK20" s="227">
        <v>360000</v>
      </c>
      <c r="AL20" s="228">
        <v>0.15</v>
      </c>
      <c r="AM20" s="229">
        <f t="shared" si="2"/>
        <v>423529.4117647059</v>
      </c>
      <c r="AN20" s="208">
        <f>VLOOKUP(Power2025914[[#This Row],[ASABEtype]],$BC$6:$BM$52,4,FALSE)</f>
        <v>8000</v>
      </c>
      <c r="AO20" s="206"/>
      <c r="AP20" s="209">
        <f>VLOOKUP(Power2025914[[#This Row],[ASABEtype]],ASABECoefficients813[],4,FALSE)/Power2025914[[#This Row],[Use (hr/yr)]]*(1-Power2025914[[#This Row],[Life used (%)]])</f>
        <v>20</v>
      </c>
      <c r="AQ20" s="171">
        <v>400</v>
      </c>
      <c r="AR20" s="171">
        <v>4.3999999999999997E-2</v>
      </c>
      <c r="AS20" s="171" t="s">
        <v>487</v>
      </c>
      <c r="AT20" s="171">
        <v>250</v>
      </c>
      <c r="AU20" s="213">
        <f>(VLOOKUP(Power2025914[[#This Row],[ASABEtype]],ASABECoefficients813[#Data],5)-VLOOKUP(Power2025914[[#This Row],[ASABEtype]],ASABECoefficients813[#Data],6)*MIN(Power2025914[[#This Row],[Lifespan (hours)]]/Power2025914[[#This Row],[Use (hr/yr)]],Power2025914[[#This Row],[Life (yr)]])^0.5-VLOOKUP(Power2025914[[#This Row],[ASABEtype]],ASABECoefficients813[#Data],7)*Power2025914[[#This Row],[Use (hr/yr)]]^0.5+VLOOKUP(Power2025914[[#This Row],[ASABEtype]],ASABECoefficients813[#Data],8)*$BP$17)^2+0.25*VLOOKUP(Power2025914[[#This Row],[ASABEtype]],ASABECoefficients813[#Data],9)</f>
        <v>0.29400804047164164</v>
      </c>
      <c r="AV20" s="230">
        <f>Power2025914[[#This Row],[TradeIn%]]*Power2025914[[#This Row],[PriceL]]</f>
        <v>124521.05243504823</v>
      </c>
      <c r="AW20" s="233">
        <f>(Power2025914[[#This Row],[PriceP]]-Power2025914[[#This Row],[TradeIn$]])/Power2025914[[#This Row],[Life (yr)]]/Power2025914[[#This Row],[Use (hr/yr)]]</f>
        <v>29.434868445618971</v>
      </c>
      <c r="AX20" s="216">
        <f>((Power2025914[[#This Row],[PriceP]]+Power2025914[[#This Row],[TradeIn$]])/2*($BP$7+$BP$8+$BP$9)+Power2025914[[#This Row],[Shed (ft^2)]]*$BP$12)/Power2025914[[#This Row],[Use (hr/yr)]]</f>
        <v>52.586013136767676</v>
      </c>
      <c r="AY20" s="217">
        <f>Power2025914[[#This Row],[PriceL]]*(VLOOKUP(Power2025914[[#This Row],[ASABEtype]],ASABECoefficients813[#Data],2)*(Power2025914[[#This Row],[Life (yr)]]*Power2025914[[#This Row],[Use (hr/yr)]]/1000)^VLOOKUP(Power2025914[[#This Row],[ASABEtype]],ASABECoefficients813[#Data],3))/Power2025914[[#This Row],[Life (yr)]]/Power2025914[[#This Row],[Use (hr/yr)]]+Power2025914[[#This Row],[Fuel (gal/hr)]]*$BP$10*$BP$11*(10*Power2025914[[#This Row],[Life used (%)]])</f>
        <v>16.941176470588239</v>
      </c>
      <c r="AZ20" s="232">
        <f>Power2025914[[#This Row],[Fuel (gal/hph)]]*Power2025914[[#This Row],[HP]]</f>
        <v>12.319999999999999</v>
      </c>
      <c r="BA20" s="233">
        <f t="shared" si="3"/>
        <v>82.02088158238665</v>
      </c>
      <c r="BB20" s="164"/>
      <c r="BC20" s="152" t="s">
        <v>489</v>
      </c>
      <c r="BD20" s="219">
        <v>3.0000000000000001E-3</v>
      </c>
      <c r="BE20" s="219">
        <v>2</v>
      </c>
      <c r="BF20" s="219">
        <v>10000</v>
      </c>
      <c r="BG20" s="219">
        <v>0.86409999999999998</v>
      </c>
      <c r="BH20" s="219">
        <v>0.15640000000000001</v>
      </c>
      <c r="BI20" s="219">
        <v>3.3999999999999998E-3</v>
      </c>
      <c r="BJ20" s="219">
        <v>4.5999999999999999E-3</v>
      </c>
      <c r="BK20" s="149">
        <f t="shared" si="4"/>
        <v>7.3959999999999989E-3</v>
      </c>
      <c r="BL20" s="219">
        <v>8.5999999999999993E-2</v>
      </c>
      <c r="BM20" s="183"/>
    </row>
    <row r="21" spans="1:71">
      <c r="B21" s="144" t="str">
        <f>Implements712[[#This Row],[Implement type]]&amp;", "&amp;Implements712[[#This Row],[Width]]&amp;" "&amp;Implements712[[#This Row],[Width Unit]]</f>
        <v>Coulter-side dress applicator, 20 Ft</v>
      </c>
      <c r="C21" s="170" t="s">
        <v>632</v>
      </c>
      <c r="D21" s="171">
        <v>20</v>
      </c>
      <c r="E21" s="170" t="s">
        <v>402</v>
      </c>
      <c r="F21" s="171"/>
      <c r="G21" s="170" t="s">
        <v>234</v>
      </c>
      <c r="H21" s="172">
        <v>78500</v>
      </c>
      <c r="I21" s="173">
        <v>0.1</v>
      </c>
      <c r="J21" s="174">
        <f t="shared" ref="J21:J84" si="5">H21/(1-I21)</f>
        <v>87222.222222222219</v>
      </c>
      <c r="K21" s="198">
        <f>VLOOKUP(Implements712[[#This Row],[ASABEtype]],ASABECoefficients813[],4,FALSE)/Implements712[[#This Row],[Use (hr/yr)]]</f>
        <v>12</v>
      </c>
      <c r="L21" s="199">
        <v>100</v>
      </c>
      <c r="M21" s="176">
        <f>IF(Implements712[[#This Row],[Use basis]]="hour",,L21*(D21*P21*Q21)/8.25)</f>
        <v>1357.5757575757575</v>
      </c>
      <c r="N21" s="200" t="s">
        <v>654</v>
      </c>
      <c r="O21" s="171" t="s">
        <v>405</v>
      </c>
      <c r="P21" s="171">
        <v>7</v>
      </c>
      <c r="Q21" s="173">
        <v>0.8</v>
      </c>
      <c r="R21" s="173">
        <v>1.1000000000000001</v>
      </c>
      <c r="S21" s="171">
        <v>225</v>
      </c>
      <c r="T21"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0.34413236901087485</v>
      </c>
      <c r="U21" s="179">
        <f>Implements712[[#This Row],[TradeIn%]]*Implements712[[#This Row],[PriceL]]</f>
        <v>30015.989963726304</v>
      </c>
      <c r="V21" s="180">
        <f>(Implements712[[#This Row],[PriceP]]-Implements712[[#This Row],[TradeIn$]])/Implements712[[#This Row],[Life (yr)]]/Implements712[[#This Row],[Use (hr/yr)]]</f>
        <v>40.403341696894749</v>
      </c>
      <c r="W21" s="180">
        <f>((Implements712[[#This Row],[PriceP]]+Implements712[[#This Row],[TradeIn$]])/2*($BP$7+$BP$8+$BP$9)+Implements712[[#This Row],[Shed (ft^2)]]*$BP$12)/Implements712[[#This Row],[Use (hr/yr)]]</f>
        <v>48.461875684402301</v>
      </c>
      <c r="X21" s="180">
        <f>Implements712[[#This Row],[PriceL]]*(VLOOKUP(Implements712[[#This Row],[ASABEtype]],$BC$6:$BM$52,2)*(Implements712[[#This Row],[Life (yr)]]*Implements712[[#This Row],[Use (hr/yr)]]/1000)^VLOOKUP(Implements712[[#This Row],[ASABEtype]],$BC$6:$BM$52,3))/Implements712[[#This Row],[Life (yr)]]/Implements712[[#This Row],[Use (hr/yr)]]</f>
        <v>58.039287265737229</v>
      </c>
      <c r="Y21" s="180">
        <f>Implements712[[#This Row],[Depr ($/hr)]]+Implements712[[#This Row],[OH ($/hr)]]</f>
        <v>88.865217381297043</v>
      </c>
      <c r="Z21" s="180">
        <f>(Implements712[[#This Row],[PriceP]]-Implements712[[#This Row],[TradeIn$]])/Implements712[[#This Row],[Life (yr)]]/Implements712[[#This Row],[Use (ac/yr)]]</f>
        <v>2.9761390089230511</v>
      </c>
      <c r="AA21" s="201">
        <f>((Implements712[[#This Row],[PriceP]]+Implements712[[#This Row],[TradeIn$]])/2*($BP$7+$BP$8+$BP$9)+Implements712[[#This Row],[Shed (ft^2)]]*$BP$12)/Implements712[[#This Row],[Use (ac/yr)]]</f>
        <v>3.5697363785385625</v>
      </c>
      <c r="AB21"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4.2752153566279656</v>
      </c>
      <c r="AC21" s="182">
        <f>IF(Implements712[[#This Row],[Use basis]]="hour","-",$BP$18/(Implements712[[#This Row],[Width]]*Implements712[[#This Row],[Speed]]*Implements712[[#This Row],[Efficiency]]))</f>
        <v>7.3660714285714288E-2</v>
      </c>
      <c r="AD21" s="163">
        <f>IF(Implements712[[#This Row],[Use basis]]=$N$128,Implements712[[#This Row],[Ownership costs ($/hr)]],SUM(Implements712[[#This Row],[Depr ($/ac)2]:[OH ($/ac)]]))</f>
        <v>6.5458753874616136</v>
      </c>
      <c r="AE21" s="163"/>
      <c r="AF21" s="163" t="s">
        <v>647</v>
      </c>
      <c r="AG21" s="163"/>
      <c r="AH21" s="202" t="str">
        <f>CONCATENATE(AI21&amp;" "&amp;AJ21)</f>
        <v>340 HP MFWD</v>
      </c>
      <c r="AI21" s="203">
        <v>340</v>
      </c>
      <c r="AJ21" s="171" t="s">
        <v>486</v>
      </c>
      <c r="AK21" s="227">
        <v>416000</v>
      </c>
      <c r="AL21" s="228">
        <v>0.15</v>
      </c>
      <c r="AM21" s="229">
        <f t="shared" si="2"/>
        <v>489411.76470588235</v>
      </c>
      <c r="AN21" s="208">
        <f>VLOOKUP(Power2025914[[#This Row],[ASABEtype]],$BC$6:$BM$52,4,FALSE)</f>
        <v>8000</v>
      </c>
      <c r="AO21" s="206"/>
      <c r="AP21" s="209">
        <f>VLOOKUP(Power2025914[[#This Row],[ASABEtype]],ASABECoefficients813[],4,FALSE)/Power2025914[[#This Row],[Use (hr/yr)]]*(1-Power2025914[[#This Row],[Life used (%)]])</f>
        <v>20</v>
      </c>
      <c r="AQ21" s="171">
        <v>400</v>
      </c>
      <c r="AR21" s="171">
        <v>4.3999999999999997E-2</v>
      </c>
      <c r="AS21" s="171" t="s">
        <v>487</v>
      </c>
      <c r="AT21" s="171">
        <v>250</v>
      </c>
      <c r="AU21" s="213">
        <f>(VLOOKUP(Power2025914[[#This Row],[ASABEtype]],ASABECoefficients813[#Data],5)-VLOOKUP(Power2025914[[#This Row],[ASABEtype]],ASABECoefficients813[#Data],6)*MIN(Power2025914[[#This Row],[Lifespan (hours)]]/Power2025914[[#This Row],[Use (hr/yr)]],Power2025914[[#This Row],[Life (yr)]])^0.5-VLOOKUP(Power2025914[[#This Row],[ASABEtype]],ASABECoefficients813[#Data],7)*Power2025914[[#This Row],[Use (hr/yr)]]^0.5+VLOOKUP(Power2025914[[#This Row],[ASABEtype]],ASABECoefficients813[#Data],8)*$BP$17)^2+0.25*VLOOKUP(Power2025914[[#This Row],[ASABEtype]],ASABECoefficients813[#Data],9)</f>
        <v>0.29400804047164164</v>
      </c>
      <c r="AV21" s="230">
        <f>Power2025914[[#This Row],[TradeIn%]]*Power2025914[[#This Row],[PriceL]]</f>
        <v>143890.9939249446</v>
      </c>
      <c r="AW21" s="233">
        <f>(Power2025914[[#This Row],[PriceP]]-Power2025914[[#This Row],[TradeIn$]])/Power2025914[[#This Row],[Life (yr)]]/Power2025914[[#This Row],[Use (hr/yr)]]</f>
        <v>34.013625759381924</v>
      </c>
      <c r="AX21" s="216">
        <f>((Power2025914[[#This Row],[PriceP]]+Power2025914[[#This Row],[TradeIn$]])/2*($BP$7+$BP$8+$BP$9)+Power2025914[[#This Row],[Shed (ft^2)]]*$BP$12)/Power2025914[[#This Row],[Use (hr/yr)]]</f>
        <v>60.688281846931552</v>
      </c>
      <c r="AY21" s="217">
        <f>Power2025914[[#This Row],[PriceL]]*(VLOOKUP(Power2025914[[#This Row],[ASABEtype]],ASABECoefficients813[#Data],2)*(Power2025914[[#This Row],[Life (yr)]]*Power2025914[[#This Row],[Use (hr/yr)]]/1000)^VLOOKUP(Power2025914[[#This Row],[ASABEtype]],ASABECoefficients813[#Data],3))/Power2025914[[#This Row],[Life (yr)]]/Power2025914[[#This Row],[Use (hr/yr)]]+Power2025914[[#This Row],[Fuel (gal/hr)]]*$BP$10*$BP$11*(10*Power2025914[[#This Row],[Life used (%)]])</f>
        <v>19.576470588235292</v>
      </c>
      <c r="AZ21" s="232">
        <f>Power2025914[[#This Row],[Fuel (gal/hph)]]*Power2025914[[#This Row],[HP]]</f>
        <v>14.959999999999999</v>
      </c>
      <c r="BA21" s="233">
        <f t="shared" si="3"/>
        <v>94.701907606313483</v>
      </c>
      <c r="BB21" s="164"/>
      <c r="BC21" s="152" t="s">
        <v>459</v>
      </c>
      <c r="BD21" s="219">
        <v>0.32</v>
      </c>
      <c r="BE21" s="219">
        <v>2.1</v>
      </c>
      <c r="BF21" s="219">
        <v>1500</v>
      </c>
      <c r="BG21" s="219">
        <v>1.2211000000000001</v>
      </c>
      <c r="BH21" s="219">
        <v>0.17369999999999999</v>
      </c>
      <c r="BI21" s="219">
        <v>0</v>
      </c>
      <c r="BJ21" s="219">
        <v>-1.6999999999999999E-3</v>
      </c>
      <c r="BK21" s="149">
        <f t="shared" si="4"/>
        <v>1.5976960000000002E-2</v>
      </c>
      <c r="BL21" s="219">
        <v>0.12640000000000001</v>
      </c>
      <c r="BM21" s="183"/>
    </row>
    <row r="22" spans="1:71">
      <c r="B22" s="144" t="str">
        <f>Implements712[[#This Row],[Implement type]]&amp;", "&amp;Implements712[[#This Row],[Width]]&amp;" "&amp;Implements712[[#This Row],[Width Unit]]</f>
        <v>Coulter-side dress applicator, 30 Ft Folding</v>
      </c>
      <c r="C22" s="170" t="s">
        <v>632</v>
      </c>
      <c r="D22" s="171">
        <v>30</v>
      </c>
      <c r="E22" s="170" t="s">
        <v>421</v>
      </c>
      <c r="F22" s="171"/>
      <c r="G22" s="170" t="s">
        <v>636</v>
      </c>
      <c r="H22" s="172">
        <v>96000</v>
      </c>
      <c r="I22" s="173">
        <v>0.1</v>
      </c>
      <c r="J22" s="174">
        <f t="shared" si="5"/>
        <v>106666.66666666666</v>
      </c>
      <c r="K22" s="198">
        <f>VLOOKUP(Implements712[[#This Row],[ASABEtype]],ASABECoefficients813[],4,FALSE)/Implements712[[#This Row],[Use (hr/yr)]]</f>
        <v>12</v>
      </c>
      <c r="L22" s="199">
        <v>100</v>
      </c>
      <c r="M22" s="176">
        <f>IF(Implements712[[#This Row],[Use basis]]="hour",,L22*(D22*P22*Q22)/8.25)</f>
        <v>2036.3636363636363</v>
      </c>
      <c r="N22" s="200" t="s">
        <v>654</v>
      </c>
      <c r="O22" s="171" t="s">
        <v>405</v>
      </c>
      <c r="P22" s="171">
        <v>7</v>
      </c>
      <c r="Q22" s="173">
        <v>0.8</v>
      </c>
      <c r="R22" s="173">
        <v>1.1000000000000001</v>
      </c>
      <c r="S22" s="171">
        <v>300</v>
      </c>
      <c r="T22"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0.34413236901087485</v>
      </c>
      <c r="U22" s="179">
        <f>Implements712[[#This Row],[TradeIn%]]*Implements712[[#This Row],[PriceL]]</f>
        <v>36707.452694493317</v>
      </c>
      <c r="V22" s="180">
        <f>(Implements712[[#This Row],[PriceP]]-Implements712[[#This Row],[TradeIn$]])/Implements712[[#This Row],[Life (yr)]]/Implements712[[#This Row],[Use (hr/yr)]]</f>
        <v>49.410456087922242</v>
      </c>
      <c r="W22" s="180">
        <f>((Implements712[[#This Row],[PriceP]]+Implements712[[#This Row],[TradeIn$]])/2*($BP$7+$BP$8+$BP$9)+Implements712[[#This Row],[Shed (ft^2)]]*$BP$12)/Implements712[[#This Row],[Use (hr/yr)]]</f>
        <v>59.464204658632127</v>
      </c>
      <c r="X22" s="180">
        <f>Implements712[[#This Row],[PriceL]]*(VLOOKUP(Implements712[[#This Row],[ASABEtype]],$BC$6:$BM$52,2)*(Implements712[[#This Row],[Life (yr)]]*Implements712[[#This Row],[Use (hr/yr)]]/1000)^VLOOKUP(Implements712[[#This Row],[ASABEtype]],$BC$6:$BM$52,3))/Implements712[[#This Row],[Life (yr)]]/Implements712[[#This Row],[Use (hr/yr)]]</f>
        <v>70.977981879118133</v>
      </c>
      <c r="Y22" s="180">
        <f>Implements712[[#This Row],[Depr ($/hr)]]+Implements712[[#This Row],[OH ($/hr)]]</f>
        <v>108.87466074655437</v>
      </c>
      <c r="Z22" s="180">
        <f>(Implements712[[#This Row],[PriceP]]-Implements712[[#This Row],[TradeIn$]])/Implements712[[#This Row],[Life (yr)]]/Implements712[[#This Row],[Use (ac/yr)]]</f>
        <v>2.4264063257461816</v>
      </c>
      <c r="AA22" s="201">
        <f>((Implements712[[#This Row],[PriceP]]+Implements712[[#This Row],[TradeIn$]])/2*($BP$7+$BP$8+$BP$9)+Implements712[[#This Row],[Shed (ft^2)]]*$BP$12)/Implements712[[#This Row],[Use (ac/yr)]]</f>
        <v>2.9201171930578278</v>
      </c>
      <c r="AB22"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3.4855258958495514</v>
      </c>
      <c r="AC22" s="182">
        <f>IF(Implements712[[#This Row],[Use basis]]="hour","-",$BP$18/(Implements712[[#This Row],[Width]]*Implements712[[#This Row],[Speed]]*Implements712[[#This Row],[Efficiency]]))</f>
        <v>4.9107142857142856E-2</v>
      </c>
      <c r="AD22" s="163">
        <f>IF(Implements712[[#This Row],[Use basis]]=$N$128,Implements712[[#This Row],[Ownership costs ($/hr)]],SUM(Implements712[[#This Row],[Depr ($/ac)2]:[OH ($/ac)]]))</f>
        <v>5.346523518804009</v>
      </c>
      <c r="AE22" s="163"/>
      <c r="AF22" s="163" t="s">
        <v>647</v>
      </c>
      <c r="AG22" s="163"/>
      <c r="AH22" s="202" t="str">
        <f>CONCATENATE(AI22&amp;" "&amp;AJ22)</f>
        <v>400 HP 4WD</v>
      </c>
      <c r="AI22" s="203">
        <v>400</v>
      </c>
      <c r="AJ22" s="171" t="s">
        <v>488</v>
      </c>
      <c r="AK22" s="227">
        <v>425000</v>
      </c>
      <c r="AL22" s="228">
        <v>0.15</v>
      </c>
      <c r="AM22" s="229">
        <f t="shared" si="2"/>
        <v>500000</v>
      </c>
      <c r="AN22" s="208">
        <f>VLOOKUP(Power2025914[[#This Row],[ASABEtype]],$BC$6:$BM$52,4,FALSE)</f>
        <v>10000</v>
      </c>
      <c r="AO22" s="206"/>
      <c r="AP22" s="209">
        <f>VLOOKUP(Power2025914[[#This Row],[ASABEtype]],ASABECoefficients813[],4,FALSE)/Power2025914[[#This Row],[Use (hr/yr)]]*(1-Power2025914[[#This Row],[Life used (%)]])</f>
        <v>25</v>
      </c>
      <c r="AQ22" s="171">
        <v>400</v>
      </c>
      <c r="AR22" s="171">
        <v>4.3999999999999997E-2</v>
      </c>
      <c r="AS22" s="171" t="s">
        <v>489</v>
      </c>
      <c r="AT22" s="171">
        <v>250</v>
      </c>
      <c r="AU22" s="213">
        <f>(VLOOKUP(Power2025914[[#This Row],[ASABEtype]],ASABECoefficients813[#Data],5)-VLOOKUP(Power2025914[[#This Row],[ASABEtype]],ASABECoefficients813[#Data],6)*MIN(Power2025914[[#This Row],[Lifespan (hours)]]/Power2025914[[#This Row],[Use (hr/yr)]],Power2025914[[#This Row],[Life (yr)]])^0.5-VLOOKUP(Power2025914[[#This Row],[ASABEtype]],ASABECoefficients813[#Data],7)*Power2025914[[#This Row],[Use (hr/yr)]]^0.5+VLOOKUP(Power2025914[[#This Row],[ASABEtype]],ASABECoefficients813[#Data],8)*$BP$17)^2+0.25*VLOOKUP(Power2025914[[#This Row],[ASABEtype]],ASABECoefficients813[#Data],9)</f>
        <v>0.2115758537889689</v>
      </c>
      <c r="AV22" s="230">
        <f>Power2025914[[#This Row],[TradeIn%]]*Power2025914[[#This Row],[PriceL]]</f>
        <v>105787.92689448445</v>
      </c>
      <c r="AW22" s="233">
        <f>(Power2025914[[#This Row],[PriceP]]-Power2025914[[#This Row],[TradeIn$]])/Power2025914[[#This Row],[Life (yr)]]/Power2025914[[#This Row],[Use (hr/yr)]]</f>
        <v>31.921207310551559</v>
      </c>
      <c r="AX22" s="216">
        <f>((Power2025914[[#This Row],[PriceP]]+Power2025914[[#This Row],[TradeIn$]])/2*($BP$7+$BP$8+$BP$9)+Power2025914[[#This Row],[Shed (ft^2)]]*$BP$12)/Power2025914[[#This Row],[Use (hr/yr)]]</f>
        <v>57.559702141157075</v>
      </c>
      <c r="AY22" s="217">
        <f>Power2025914[[#This Row],[PriceL]]*(VLOOKUP(Power2025914[[#This Row],[ASABEtype]],ASABECoefficients813[#Data],2)*(Power2025914[[#This Row],[Life (yr)]]*Power2025914[[#This Row],[Use (hr/yr)]]/1000)^VLOOKUP(Power2025914[[#This Row],[ASABEtype]],ASABECoefficients813[#Data],3))/Power2025914[[#This Row],[Life (yr)]]/Power2025914[[#This Row],[Use (hr/yr)]]+Power2025914[[#This Row],[Fuel (gal/hr)]]*$BP$10*$BP$11*(10*Power2025914[[#This Row],[Life used (%)]])</f>
        <v>15</v>
      </c>
      <c r="AZ22" s="232">
        <f>Power2025914[[#This Row],[Fuel (gal/hph)]]*Power2025914[[#This Row],[HP]]</f>
        <v>17.599999999999998</v>
      </c>
      <c r="BA22" s="233">
        <f t="shared" si="3"/>
        <v>89.480909451708641</v>
      </c>
      <c r="BB22" s="164"/>
      <c r="BC22" s="152" t="s">
        <v>542</v>
      </c>
      <c r="BD22" s="219">
        <v>0.18</v>
      </c>
      <c r="BE22" s="219">
        <v>1.7</v>
      </c>
      <c r="BF22" s="219">
        <v>2000</v>
      </c>
      <c r="BG22" s="219">
        <v>0.71940000000000004</v>
      </c>
      <c r="BH22" s="219">
        <v>0.11020000000000001</v>
      </c>
      <c r="BI22" s="219">
        <v>0</v>
      </c>
      <c r="BJ22" s="219">
        <v>3.0000000000000001E-3</v>
      </c>
      <c r="BK22" s="149">
        <f t="shared" si="4"/>
        <v>1.4713690000000001E-2</v>
      </c>
      <c r="BL22" s="219">
        <v>0.12130000000000001</v>
      </c>
      <c r="BM22" s="183"/>
    </row>
    <row r="23" spans="1:71">
      <c r="B23" s="144" t="str">
        <f>Implements712[[#This Row],[Implement type]]&amp;", "&amp;Implements712[[#This Row],[Width]]&amp;" "&amp;Implements712[[#This Row],[Width Unit]]</f>
        <v>Coulter-side dress applicator, 40 Ft Folding</v>
      </c>
      <c r="C23" s="170" t="s">
        <v>632</v>
      </c>
      <c r="D23" s="171">
        <v>40</v>
      </c>
      <c r="E23" s="170" t="s">
        <v>421</v>
      </c>
      <c r="F23" s="171"/>
      <c r="G23" s="170" t="s">
        <v>841</v>
      </c>
      <c r="H23" s="172">
        <v>114500</v>
      </c>
      <c r="I23" s="173">
        <v>0.1</v>
      </c>
      <c r="J23" s="174">
        <f t="shared" si="5"/>
        <v>127222.22222222222</v>
      </c>
      <c r="K23" s="198">
        <f>VLOOKUP(Implements712[[#This Row],[ASABEtype]],ASABECoefficients813[],4,FALSE)/Implements712[[#This Row],[Use (hr/yr)]]</f>
        <v>12</v>
      </c>
      <c r="L23" s="199">
        <v>100</v>
      </c>
      <c r="M23" s="176">
        <f>IF(Implements712[[#This Row],[Use basis]]="hour",,L23*(D23*P23*Q23)/8.25)</f>
        <v>2715.151515151515</v>
      </c>
      <c r="N23" s="200" t="s">
        <v>654</v>
      </c>
      <c r="O23" s="171" t="s">
        <v>405</v>
      </c>
      <c r="P23" s="171">
        <v>7</v>
      </c>
      <c r="Q23" s="173">
        <v>0.8</v>
      </c>
      <c r="R23" s="173">
        <v>1.1000000000000001</v>
      </c>
      <c r="S23" s="171">
        <v>400</v>
      </c>
      <c r="T23"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0.34413236901087485</v>
      </c>
      <c r="U23" s="179">
        <f>Implements712[[#This Row],[TradeIn%]]*Implements712[[#This Row],[PriceL]]</f>
        <v>43781.284724161298</v>
      </c>
      <c r="V23" s="180">
        <f>(Implements712[[#This Row],[PriceP]]-Implements712[[#This Row],[TradeIn$]])/Implements712[[#This Row],[Life (yr)]]/Implements712[[#This Row],[Use (hr/yr)]]</f>
        <v>58.932262729865585</v>
      </c>
      <c r="W23" s="180">
        <f>((Implements712[[#This Row],[PriceP]]+Implements712[[#This Row],[TradeIn$]])/2*($BP$7+$BP$8+$BP$9)+Implements712[[#This Row],[Shed (ft^2)]]*$BP$12)/Implements712[[#This Row],[Use (hr/yr)]]</f>
        <v>71.260952431389356</v>
      </c>
      <c r="X23" s="180">
        <f>Implements712[[#This Row],[PriceL]]*(VLOOKUP(Implements712[[#This Row],[ASABEtype]],$BC$6:$BM$52,2)*(Implements712[[#This Row],[Life (yr)]]*Implements712[[#This Row],[Use (hr/yr)]]/1000)^VLOOKUP(Implements712[[#This Row],[ASABEtype]],$BC$6:$BM$52,3))/Implements712[[#This Row],[Life (yr)]]/Implements712[[#This Row],[Use (hr/yr)]]</f>
        <v>84.656030470406535</v>
      </c>
      <c r="Y23" s="180">
        <f>Implements712[[#This Row],[Depr ($/hr)]]+Implements712[[#This Row],[OH ($/hr)]]</f>
        <v>130.19321516125495</v>
      </c>
      <c r="Z23" s="180">
        <f>(Implements712[[#This Row],[PriceP]]-Implements712[[#This Row],[TradeIn$]])/Implements712[[#This Row],[Life (yr)]]/Implements712[[#This Row],[Use (ac/yr)]]</f>
        <v>2.1704962835776391</v>
      </c>
      <c r="AA23" s="201">
        <f>((Implements712[[#This Row],[PriceP]]+Implements712[[#This Row],[TradeIn$]])/2*($BP$7+$BP$8+$BP$9)+Implements712[[#This Row],[Shed (ft^2)]]*$BP$12)/Implements712[[#This Row],[Use (ac/yr)]]</f>
        <v>2.6245663283882239</v>
      </c>
      <c r="AB23"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3.1179118365216691</v>
      </c>
      <c r="AC23" s="182">
        <f>IF(Implements712[[#This Row],[Use basis]]="hour","-",$BP$18/(Implements712[[#This Row],[Width]]*Implements712[[#This Row],[Speed]]*Implements712[[#This Row],[Efficiency]]))</f>
        <v>3.6830357142857144E-2</v>
      </c>
      <c r="AD23" s="163">
        <f>IF(Implements712[[#This Row],[Use basis]]=$N$128,Implements712[[#This Row],[Ownership costs ($/hr)]],SUM(Implements712[[#This Row],[Depr ($/ac)2]:[OH ($/ac)]]))</f>
        <v>4.7950626119658626</v>
      </c>
      <c r="AE23" s="163"/>
      <c r="AF23" s="163" t="s">
        <v>647</v>
      </c>
      <c r="AG23" s="163"/>
      <c r="AH23" s="202" t="str">
        <f t="shared" si="1"/>
        <v>475 HP 4WD</v>
      </c>
      <c r="AI23" s="203">
        <v>475</v>
      </c>
      <c r="AJ23" s="171" t="s">
        <v>488</v>
      </c>
      <c r="AK23" s="227">
        <v>510000</v>
      </c>
      <c r="AL23" s="228">
        <v>0.15</v>
      </c>
      <c r="AM23" s="229">
        <f t="shared" si="2"/>
        <v>600000</v>
      </c>
      <c r="AN23" s="208">
        <f>VLOOKUP(Power2025914[[#This Row],[ASABEtype]],$BC$6:$BM$52,4,FALSE)</f>
        <v>10000</v>
      </c>
      <c r="AO23" s="206"/>
      <c r="AP23" s="209">
        <f>VLOOKUP(Power2025914[[#This Row],[ASABEtype]],ASABECoefficients813[],4,FALSE)/Power2025914[[#This Row],[Use (hr/yr)]]*(1-Power2025914[[#This Row],[Life used (%)]])</f>
        <v>25</v>
      </c>
      <c r="AQ23" s="171">
        <v>400</v>
      </c>
      <c r="AR23" s="171">
        <v>4.3999999999999997E-2</v>
      </c>
      <c r="AS23" s="171" t="s">
        <v>489</v>
      </c>
      <c r="AT23" s="171">
        <v>250</v>
      </c>
      <c r="AU23" s="213">
        <f>(VLOOKUP(Power2025914[[#This Row],[ASABEtype]],ASABECoefficients813[#Data],5)-VLOOKUP(Power2025914[[#This Row],[ASABEtype]],ASABECoefficients813[#Data],6)*MIN(Power2025914[[#This Row],[Lifespan (hours)]]/Power2025914[[#This Row],[Use (hr/yr)]],Power2025914[[#This Row],[Life (yr)]])^0.5-VLOOKUP(Power2025914[[#This Row],[ASABEtype]],ASABECoefficients813[#Data],7)*Power2025914[[#This Row],[Use (hr/yr)]]^0.5+VLOOKUP(Power2025914[[#This Row],[ASABEtype]],ASABECoefficients813[#Data],8)*$BP$17)^2+0.25*VLOOKUP(Power2025914[[#This Row],[ASABEtype]],ASABECoefficients813[#Data],9)</f>
        <v>0.2115758537889689</v>
      </c>
      <c r="AV23" s="230">
        <f>Power2025914[[#This Row],[TradeIn%]]*Power2025914[[#This Row],[PriceL]]</f>
        <v>126945.51227338133</v>
      </c>
      <c r="AW23" s="233">
        <f>(Power2025914[[#This Row],[PriceP]]-Power2025914[[#This Row],[TradeIn$]])/Power2025914[[#This Row],[Life (yr)]]/Power2025914[[#This Row],[Use (hr/yr)]]</f>
        <v>38.305448772661869</v>
      </c>
      <c r="AX23" s="216">
        <f>((Power2025914[[#This Row],[PriceP]]+Power2025914[[#This Row],[TradeIn$]])/2*($BP$7+$BP$8+$BP$9)+Power2025914[[#This Row],[Shed (ft^2)]]*$BP$12)/Power2025914[[#This Row],[Use (hr/yr)]]</f>
        <v>68.971642569388493</v>
      </c>
      <c r="AY23" s="217">
        <f>Power2025914[[#This Row],[PriceL]]*(VLOOKUP(Power2025914[[#This Row],[ASABEtype]],ASABECoefficients813[#Data],2)*(Power2025914[[#This Row],[Life (yr)]]*Power2025914[[#This Row],[Use (hr/yr)]]/1000)^VLOOKUP(Power2025914[[#This Row],[ASABEtype]],ASABECoefficients813[#Data],3))/Power2025914[[#This Row],[Life (yr)]]/Power2025914[[#This Row],[Use (hr/yr)]]+Power2025914[[#This Row],[Fuel (gal/hr)]]*$BP$10*$BP$11*(10*Power2025914[[#This Row],[Life used (%)]])</f>
        <v>18</v>
      </c>
      <c r="AZ23" s="232">
        <f>Power2025914[[#This Row],[Fuel (gal/hph)]]*Power2025914[[#This Row],[HP]]</f>
        <v>20.9</v>
      </c>
      <c r="BA23" s="233">
        <f t="shared" si="3"/>
        <v>107.27709134205037</v>
      </c>
      <c r="BB23" s="164"/>
      <c r="BC23" s="152" t="s">
        <v>661</v>
      </c>
      <c r="BD23" s="219">
        <v>5.0000000000000001E-3</v>
      </c>
      <c r="BE23" s="219">
        <v>2</v>
      </c>
      <c r="BF23" s="219">
        <v>12000</v>
      </c>
      <c r="BG23" s="219">
        <v>0.86409999999999998</v>
      </c>
      <c r="BH23" s="219">
        <v>0.08</v>
      </c>
      <c r="BI23" s="219"/>
      <c r="BJ23" s="219">
        <v>2E-3</v>
      </c>
      <c r="BK23" s="149">
        <f t="shared" si="4"/>
        <v>7.3959999999999989E-3</v>
      </c>
      <c r="BL23" s="219">
        <v>8.5999999999999993E-2</v>
      </c>
      <c r="BM23" s="183" t="s">
        <v>544</v>
      </c>
    </row>
    <row r="24" spans="1:71">
      <c r="B24" s="144" t="str">
        <f>Implements712[[#This Row],[Implement type]]&amp;", "&amp;Implements712[[#This Row],[Width]]&amp;" "&amp;Implements712[[#This Row],[Width Unit]]</f>
        <v>Fertilizer spreader, 20 Ft</v>
      </c>
      <c r="C24" s="170" t="s">
        <v>405</v>
      </c>
      <c r="D24" s="171">
        <v>20</v>
      </c>
      <c r="E24" s="170" t="s">
        <v>402</v>
      </c>
      <c r="F24" s="171"/>
      <c r="G24" s="170" t="s">
        <v>822</v>
      </c>
      <c r="H24" s="172">
        <v>2250</v>
      </c>
      <c r="I24" s="173">
        <v>0.1</v>
      </c>
      <c r="J24" s="174">
        <f t="shared" si="5"/>
        <v>2500</v>
      </c>
      <c r="K24" s="198">
        <f>VLOOKUP(Implements712[[#This Row],[ASABEtype]],ASABECoefficients813[],4,FALSE)/Implements712[[#This Row],[Use (hr/yr)]]</f>
        <v>24</v>
      </c>
      <c r="L24" s="171">
        <v>50</v>
      </c>
      <c r="M24" s="176">
        <f>IF(Implements712[[#This Row],[Use basis]]="hour",,L24*(D24*P24*Q24)/8.25)</f>
        <v>581.81818181818187</v>
      </c>
      <c r="N24" s="177" t="s">
        <v>654</v>
      </c>
      <c r="O24" s="171" t="s">
        <v>405</v>
      </c>
      <c r="P24" s="171">
        <v>6</v>
      </c>
      <c r="Q24" s="173">
        <v>0.8</v>
      </c>
      <c r="R24" s="173">
        <v>1.1499999999999999</v>
      </c>
      <c r="S24" s="171">
        <v>6</v>
      </c>
      <c r="T24"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0.16340349327732909</v>
      </c>
      <c r="U24" s="179">
        <f>Implements712[[#This Row],[TradeIn%]]*Implements712[[#This Row],[PriceL]]</f>
        <v>408.50873319332271</v>
      </c>
      <c r="V24" s="180">
        <f>(Implements712[[#This Row],[PriceP]]-Implements712[[#This Row],[TradeIn$]])/Implements712[[#This Row],[Life (yr)]]/Implements712[[#This Row],[Use (hr/yr)]]</f>
        <v>1.5345760556722312</v>
      </c>
      <c r="W24" s="201">
        <f>((Implements712[[#This Row],[PriceP]]+Implements712[[#This Row],[TradeIn$]])/2*($BP$7+$BP$8+$BP$9)+Implements712[[#This Row],[Shed (ft^2)]]*$BP$12)/Implements712[[#This Row],[Use (hr/yr)]]</f>
        <v>2.3823175105462573</v>
      </c>
      <c r="X24" s="180">
        <f>Implements712[[#This Row],[PriceL]]*(VLOOKUP(Implements712[[#This Row],[ASABEtype]],$BC$6:$BM$52,2)*(Implements712[[#This Row],[Life (yr)]]*Implements712[[#This Row],[Use (hr/yr)]]/1000)^VLOOKUP(Implements712[[#This Row],[ASABEtype]],$BC$6:$BM$52,3))/Implements712[[#This Row],[Life (yr)]]/Implements712[[#This Row],[Use (hr/yr)]]</f>
        <v>1.6635464502918316</v>
      </c>
      <c r="Y24" s="180">
        <f>Implements712[[#This Row],[Depr ($/hr)]]+Implements712[[#This Row],[OH ($/hr)]]</f>
        <v>3.9168935662184885</v>
      </c>
      <c r="Z24" s="180">
        <f>(Implements712[[#This Row],[PriceP]]-Implements712[[#This Row],[TradeIn$]])/Implements712[[#This Row],[Life (yr)]]/Implements712[[#This Row],[Use (ac/yr)]]</f>
        <v>0.13187762978433235</v>
      </c>
      <c r="AA24" s="201">
        <f>((Implements712[[#This Row],[PriceP]]+Implements712[[#This Row],[TradeIn$]])/2*($BP$7+$BP$8+$BP$9)+Implements712[[#This Row],[Shed (ft^2)]]*$BP$12)/Implements712[[#This Row],[Use (ac/yr)]]</f>
        <v>0.20473041106256898</v>
      </c>
      <c r="AB24"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0.14296102307195427</v>
      </c>
      <c r="AC24" s="182">
        <f>IF(Implements712[[#This Row],[Use basis]]="hour","-",$BP$18/(Implements712[[#This Row],[Width]]*Implements712[[#This Row],[Speed]]*Implements712[[#This Row],[Efficiency]]))</f>
        <v>8.59375E-2</v>
      </c>
      <c r="AD24" s="163">
        <f>IF(Implements712[[#This Row],[Use basis]]=$N$128,Implements712[[#This Row],[Ownership costs ($/hr)]],SUM(Implements712[[#This Row],[Depr ($/ac)2]:[OH ($/ac)]]))</f>
        <v>0.33660804084690132</v>
      </c>
      <c r="AE24" s="163"/>
      <c r="AF24" s="163" t="s">
        <v>647</v>
      </c>
      <c r="AG24" s="163"/>
      <c r="AH24" s="202" t="str">
        <f t="shared" si="1"/>
        <v>600 HP 4WD</v>
      </c>
      <c r="AI24" s="203">
        <v>600</v>
      </c>
      <c r="AJ24" s="171" t="s">
        <v>488</v>
      </c>
      <c r="AK24" s="227">
        <v>560000</v>
      </c>
      <c r="AL24" s="228">
        <v>0.15</v>
      </c>
      <c r="AM24" s="229">
        <f t="shared" si="2"/>
        <v>658823.5294117647</v>
      </c>
      <c r="AN24" s="208">
        <f>VLOOKUP(Power2025914[[#This Row],[ASABEtype]],$BC$6:$BM$52,4,FALSE)</f>
        <v>10000</v>
      </c>
      <c r="AO24" s="206"/>
      <c r="AP24" s="209">
        <f>VLOOKUP(Power2025914[[#This Row],[ASABEtype]],ASABECoefficients813[],4,FALSE)/Power2025914[[#This Row],[Use (hr/yr)]]*(1-Power2025914[[#This Row],[Life used (%)]])</f>
        <v>25</v>
      </c>
      <c r="AQ24" s="171">
        <v>400</v>
      </c>
      <c r="AR24" s="171">
        <v>4.3999999999999997E-2</v>
      </c>
      <c r="AS24" s="171" t="s">
        <v>489</v>
      </c>
      <c r="AT24" s="171">
        <v>250</v>
      </c>
      <c r="AU24" s="213">
        <f>(VLOOKUP(Power2025914[[#This Row],[ASABEtype]],ASABECoefficients813[#Data],5)-VLOOKUP(Power2025914[[#This Row],[ASABEtype]],ASABECoefficients813[#Data],6)*MIN(Power2025914[[#This Row],[Lifespan (hours)]]/Power2025914[[#This Row],[Use (hr/yr)]],Power2025914[[#This Row],[Life (yr)]])^0.5-VLOOKUP(Power2025914[[#This Row],[ASABEtype]],ASABECoefficients813[#Data],7)*Power2025914[[#This Row],[Use (hr/yr)]]^0.5+VLOOKUP(Power2025914[[#This Row],[ASABEtype]],ASABECoefficients813[#Data],8)*$BP$17)^2+0.25*VLOOKUP(Power2025914[[#This Row],[ASABEtype]],ASABECoefficients813[#Data],9)</f>
        <v>0.2115758537889689</v>
      </c>
      <c r="AV24" s="230">
        <f>Power2025914[[#This Row],[TradeIn%]]*Power2025914[[#This Row],[PriceL]]</f>
        <v>139391.15073155597</v>
      </c>
      <c r="AW24" s="233">
        <f>(Power2025914[[#This Row],[PriceP]]-Power2025914[[#This Row],[TradeIn$]])/Power2025914[[#This Row],[Life (yr)]]/Power2025914[[#This Row],[Use (hr/yr)]]</f>
        <v>42.060884926844402</v>
      </c>
      <c r="AX24" s="216">
        <f>((Power2025914[[#This Row],[PriceP]]+Power2025914[[#This Row],[TradeIn$]])/2*($BP$7+$BP$8+$BP$9)+Power2025914[[#This Row],[Shed (ft^2)]]*$BP$12)/Power2025914[[#This Row],[Use (hr/yr)]]</f>
        <v>75.684548703642264</v>
      </c>
      <c r="AY24" s="217">
        <f>Power2025914[[#This Row],[PriceL]]*(VLOOKUP(Power2025914[[#This Row],[ASABEtype]],ASABECoefficients813[#Data],2)*(Power2025914[[#This Row],[Life (yr)]]*Power2025914[[#This Row],[Use (hr/yr)]]/1000)^VLOOKUP(Power2025914[[#This Row],[ASABEtype]],ASABECoefficients813[#Data],3))/Power2025914[[#This Row],[Life (yr)]]/Power2025914[[#This Row],[Use (hr/yr)]]+Power2025914[[#This Row],[Fuel (gal/hr)]]*$BP$10*$BP$11*(10*Power2025914[[#This Row],[Life used (%)]])</f>
        <v>19.764705882352938</v>
      </c>
      <c r="AZ24" s="232">
        <f>Power2025914[[#This Row],[Fuel (gal/hph)]]*Power2025914[[#This Row],[HP]]</f>
        <v>26.4</v>
      </c>
      <c r="BA24" s="233">
        <f t="shared" si="3"/>
        <v>117.74543363048667</v>
      </c>
      <c r="BB24" s="164"/>
      <c r="BC24" s="152" t="s">
        <v>446</v>
      </c>
      <c r="BD24" s="219">
        <v>0.1</v>
      </c>
      <c r="BE24" s="219">
        <v>1.8</v>
      </c>
      <c r="BF24" s="219">
        <v>3000</v>
      </c>
      <c r="BG24" s="219">
        <v>0.80910000000000004</v>
      </c>
      <c r="BH24" s="219">
        <v>0.1109</v>
      </c>
      <c r="BI24" s="219">
        <v>0</v>
      </c>
      <c r="BJ24" s="219">
        <v>1.4E-3</v>
      </c>
      <c r="BK24" s="149">
        <f t="shared" si="4"/>
        <v>1.605289E-2</v>
      </c>
      <c r="BL24" s="219">
        <v>0.12670000000000001</v>
      </c>
      <c r="BM24" s="183"/>
    </row>
    <row r="25" spans="1:71">
      <c r="B25" s="144" t="str">
        <f>Implements712[[#This Row],[Implement type]]&amp;", "&amp;Implements712[[#This Row],[Width]]&amp;" "&amp;Implements712[[#This Row],[Width Unit]]</f>
        <v>Fertilizer spreader, 40 Ft</v>
      </c>
      <c r="C25" s="170" t="s">
        <v>405</v>
      </c>
      <c r="D25" s="171">
        <v>40</v>
      </c>
      <c r="E25" s="170" t="s">
        <v>402</v>
      </c>
      <c r="F25" s="171"/>
      <c r="G25" s="170" t="s">
        <v>823</v>
      </c>
      <c r="H25" s="172">
        <v>27000</v>
      </c>
      <c r="I25" s="173">
        <v>0.1</v>
      </c>
      <c r="J25" s="174">
        <f t="shared" si="5"/>
        <v>30000</v>
      </c>
      <c r="K25" s="198">
        <f>VLOOKUP(Implements712[[#This Row],[ASABEtype]],ASABECoefficients813[],4,FALSE)/Implements712[[#This Row],[Use (hr/yr)]]</f>
        <v>12</v>
      </c>
      <c r="L25" s="171">
        <v>100</v>
      </c>
      <c r="M25" s="176">
        <f>IF(Implements712[[#This Row],[Use basis]]="hour",,L25*(D25*P25*Q25)/8.25)</f>
        <v>3103.030303030303</v>
      </c>
      <c r="N25" s="177" t="s">
        <v>654</v>
      </c>
      <c r="O25" s="171" t="s">
        <v>405</v>
      </c>
      <c r="P25" s="171">
        <v>8</v>
      </c>
      <c r="Q25" s="173">
        <v>0.8</v>
      </c>
      <c r="R25" s="173">
        <v>1.1499999999999999</v>
      </c>
      <c r="S25" s="171">
        <v>150</v>
      </c>
      <c r="T25"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0.34413236901087485</v>
      </c>
      <c r="U25" s="179">
        <f>Implements712[[#This Row],[TradeIn%]]*Implements712[[#This Row],[PriceL]]</f>
        <v>10323.971070326246</v>
      </c>
      <c r="V25" s="180">
        <f>(Implements712[[#This Row],[PriceP]]-Implements712[[#This Row],[TradeIn$]])/Implements712[[#This Row],[Life (yr)]]/Implements712[[#This Row],[Use (hr/yr)]]</f>
        <v>13.896690774728128</v>
      </c>
      <c r="W25" s="201">
        <f>((Implements712[[#This Row],[PriceP]]+Implements712[[#This Row],[TradeIn$]])/2*($BP$7+$BP$8+$BP$9)+Implements712[[#This Row],[Shed (ft^2)]]*$BP$12)/Implements712[[#This Row],[Use (hr/yr)]]</f>
        <v>17.249307560240283</v>
      </c>
      <c r="X25" s="180">
        <f>Implements712[[#This Row],[PriceL]]*(VLOOKUP(Implements712[[#This Row],[ASABEtype]],$BC$6:$BM$52,2)*(Implements712[[#This Row],[Life (yr)]]*Implements712[[#This Row],[Use (hr/yr)]]/1000)^VLOOKUP(Implements712[[#This Row],[ASABEtype]],$BC$6:$BM$52,3))/Implements712[[#This Row],[Life (yr)]]/Implements712[[#This Row],[Use (hr/yr)]]</f>
        <v>19.962557403501979</v>
      </c>
      <c r="Y25" s="180">
        <f>Implements712[[#This Row],[Depr ($/hr)]]+Implements712[[#This Row],[OH ($/hr)]]</f>
        <v>31.145998334968411</v>
      </c>
      <c r="Z25" s="180">
        <f>(Implements712[[#This Row],[PriceP]]-Implements712[[#This Row],[TradeIn$]])/Implements712[[#This Row],[Life (yr)]]/Implements712[[#This Row],[Use (ac/yr)]]</f>
        <v>0.44784257379494946</v>
      </c>
      <c r="AA25" s="201">
        <f>((Implements712[[#This Row],[PriceP]]+Implements712[[#This Row],[TradeIn$]])/2*($BP$7+$BP$8+$BP$9)+Implements712[[#This Row],[Shed (ft^2)]]*$BP$12)/Implements712[[#This Row],[Use (ac/yr)]]</f>
        <v>0.55588588817180606</v>
      </c>
      <c r="AB25"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0.64332460382379419</v>
      </c>
      <c r="AC25" s="182">
        <f>IF(Implements712[[#This Row],[Use basis]]="hour","-",$BP$18/(Implements712[[#This Row],[Width]]*Implements712[[#This Row],[Speed]]*Implements712[[#This Row],[Efficiency]]))</f>
        <v>3.22265625E-2</v>
      </c>
      <c r="AD25" s="163">
        <f>IF(Implements712[[#This Row],[Use basis]]=$N$128,Implements712[[#This Row],[Ownership costs ($/hr)]],SUM(Implements712[[#This Row],[Depr ($/ac)2]:[OH ($/ac)]]))</f>
        <v>1.0037284619667555</v>
      </c>
      <c r="AE25" s="163"/>
      <c r="AF25" s="163" t="s">
        <v>647</v>
      </c>
      <c r="AG25" s="163"/>
      <c r="AH25" s="202" t="str">
        <f t="shared" si="1"/>
        <v>600 HP Tracked 4WD</v>
      </c>
      <c r="AI25" s="203">
        <v>600</v>
      </c>
      <c r="AJ25" s="171" t="s">
        <v>490</v>
      </c>
      <c r="AK25" s="227">
        <v>675000</v>
      </c>
      <c r="AL25" s="228">
        <v>0.15</v>
      </c>
      <c r="AM25" s="229">
        <f>AK25/(1-AL25)</f>
        <v>794117.6470588235</v>
      </c>
      <c r="AN25" s="208">
        <f>VLOOKUP(Power2025914[[#This Row],[ASABEtype]],$BC$6:$BM$52,4,FALSE)</f>
        <v>10000</v>
      </c>
      <c r="AO25" s="206"/>
      <c r="AP25" s="209">
        <f>VLOOKUP(Power2025914[[#This Row],[ASABEtype]],ASABECoefficients813[],4,FALSE)/Power2025914[[#This Row],[Use (hr/yr)]]*(1-Power2025914[[#This Row],[Life used (%)]])</f>
        <v>25</v>
      </c>
      <c r="AQ25" s="171">
        <v>400</v>
      </c>
      <c r="AR25" s="171">
        <v>4.3999999999999997E-2</v>
      </c>
      <c r="AS25" s="171" t="s">
        <v>489</v>
      </c>
      <c r="AT25" s="171">
        <v>250</v>
      </c>
      <c r="AU25" s="213">
        <f>(VLOOKUP(Power2025914[[#This Row],[ASABEtype]],ASABECoefficients813[#Data],5)-VLOOKUP(Power2025914[[#This Row],[ASABEtype]],ASABECoefficients813[#Data],6)*MIN(Power2025914[[#This Row],[Lifespan (hours)]]/Power2025914[[#This Row],[Use (hr/yr)]],Power2025914[[#This Row],[Life (yr)]])^0.5-VLOOKUP(Power2025914[[#This Row],[ASABEtype]],ASABECoefficients813[#Data],7)*Power2025914[[#This Row],[Use (hr/yr)]]^0.5+VLOOKUP(Power2025914[[#This Row],[ASABEtype]],ASABECoefficients813[#Data],8)*$BP$17)^2+0.25*VLOOKUP(Power2025914[[#This Row],[ASABEtype]],ASABECoefficients813[#Data],9)</f>
        <v>0.2115758537889689</v>
      </c>
      <c r="AV25" s="230">
        <f>Power2025914[[#This Row],[TradeIn%]]*Power2025914[[#This Row],[PriceL]]</f>
        <v>168016.11918535765</v>
      </c>
      <c r="AW25" s="233">
        <f>(Power2025914[[#This Row],[PriceP]]-Power2025914[[#This Row],[TradeIn$]])/Power2025914[[#This Row],[Life (yr)]]/Power2025914[[#This Row],[Use (hr/yr)]]</f>
        <v>50.698388081464238</v>
      </c>
      <c r="AX25" s="216">
        <f>((Power2025914[[#This Row],[PriceP]]+Power2025914[[#This Row],[TradeIn$]])/2*($BP$7+$BP$8+$BP$9)+Power2025914[[#This Row],[Shed (ft^2)]]*$BP$12)/Power2025914[[#This Row],[Use (hr/yr)]]</f>
        <v>91.12423281242593</v>
      </c>
      <c r="AY25" s="217">
        <f>Power2025914[[#This Row],[PriceL]]*(VLOOKUP(Power2025914[[#This Row],[ASABEtype]],ASABECoefficients813[#Data],2)*(Power2025914[[#This Row],[Life (yr)]]*Power2025914[[#This Row],[Use (hr/yr)]]/1000)^VLOOKUP(Power2025914[[#This Row],[ASABEtype]],ASABECoefficients813[#Data],3))/Power2025914[[#This Row],[Life (yr)]]/Power2025914[[#This Row],[Use (hr/yr)]]+Power2025914[[#This Row],[Fuel (gal/hr)]]*$BP$10*$BP$11*(10*Power2025914[[#This Row],[Life used (%)]])</f>
        <v>23.823529411764703</v>
      </c>
      <c r="AZ25" s="232">
        <f>Power2025914[[#This Row],[Fuel (gal/hph)]]*Power2025914[[#This Row],[HP]]</f>
        <v>26.4</v>
      </c>
      <c r="BA25" s="233">
        <f t="shared" si="3"/>
        <v>141.82262089389016</v>
      </c>
      <c r="BB25" s="164"/>
      <c r="BC25" s="152" t="s">
        <v>451</v>
      </c>
      <c r="BD25" s="219">
        <v>0.43</v>
      </c>
      <c r="BE25" s="219">
        <v>1.8</v>
      </c>
      <c r="BF25" s="219">
        <v>1500</v>
      </c>
      <c r="BG25" s="219">
        <v>0.80910000000000004</v>
      </c>
      <c r="BH25" s="219">
        <v>0.1109</v>
      </c>
      <c r="BI25" s="219">
        <v>0</v>
      </c>
      <c r="BJ25" s="219">
        <v>1.4E-3</v>
      </c>
      <c r="BK25" s="149">
        <f t="shared" si="4"/>
        <v>1.605289E-2</v>
      </c>
      <c r="BL25" s="219">
        <v>0.12670000000000001</v>
      </c>
      <c r="BM25" s="183"/>
    </row>
    <row r="26" spans="1:71">
      <c r="B26" s="144" t="str">
        <f>Implements712[[#This Row],[Implement type]]&amp;", "&amp;Implements712[[#This Row],[Width]]&amp;" "&amp;Implements712[[#This Row],[Width Unit]]</f>
        <v>Fertilizer spreader, 60 Ft</v>
      </c>
      <c r="C26" s="170" t="s">
        <v>405</v>
      </c>
      <c r="D26" s="171">
        <v>60</v>
      </c>
      <c r="E26" s="170" t="s">
        <v>402</v>
      </c>
      <c r="F26" s="171"/>
      <c r="G26" s="170" t="s">
        <v>824</v>
      </c>
      <c r="H26" s="172">
        <v>35100</v>
      </c>
      <c r="I26" s="173">
        <v>0.1</v>
      </c>
      <c r="J26" s="174">
        <f t="shared" si="5"/>
        <v>39000</v>
      </c>
      <c r="K26" s="198">
        <f>VLOOKUP(Implements712[[#This Row],[ASABEtype]],ASABECoefficients813[],4,FALSE)/Implements712[[#This Row],[Use (hr/yr)]]</f>
        <v>12</v>
      </c>
      <c r="L26" s="171">
        <v>100</v>
      </c>
      <c r="M26" s="176">
        <f>IF(Implements712[[#This Row],[Use basis]]="hour",,L26*(D26*P26*Q26)/8.25)</f>
        <v>4654.545454545455</v>
      </c>
      <c r="N26" s="177" t="s">
        <v>654</v>
      </c>
      <c r="O26" s="171" t="s">
        <v>405</v>
      </c>
      <c r="P26" s="171">
        <v>8</v>
      </c>
      <c r="Q26" s="173">
        <v>0.8</v>
      </c>
      <c r="R26" s="173">
        <v>1.1499999999999999</v>
      </c>
      <c r="S26" s="171">
        <v>180</v>
      </c>
      <c r="T26"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0.34413236901087485</v>
      </c>
      <c r="U26" s="179">
        <f>Implements712[[#This Row],[TradeIn%]]*Implements712[[#This Row],[PriceL]]</f>
        <v>13421.162391424119</v>
      </c>
      <c r="V26" s="180">
        <f>(Implements712[[#This Row],[PriceP]]-Implements712[[#This Row],[TradeIn$]])/Implements712[[#This Row],[Life (yr)]]/Implements712[[#This Row],[Use (hr/yr)]]</f>
        <v>18.065698007146565</v>
      </c>
      <c r="W26" s="201">
        <f>((Implements712[[#This Row],[PriceP]]+Implements712[[#This Row],[TradeIn$]])/2*($BP$7+$BP$8+$BP$9)+Implements712[[#This Row],[Shed (ft^2)]]*$BP$12)/Implements712[[#This Row],[Use (hr/yr)]]</f>
        <v>22.304099828312371</v>
      </c>
      <c r="X26" s="180">
        <f>Implements712[[#This Row],[PriceL]]*(VLOOKUP(Implements712[[#This Row],[ASABEtype]],$BC$6:$BM$52,2)*(Implements712[[#This Row],[Life (yr)]]*Implements712[[#This Row],[Use (hr/yr)]]/1000)^VLOOKUP(Implements712[[#This Row],[ASABEtype]],$BC$6:$BM$52,3))/Implements712[[#This Row],[Life (yr)]]/Implements712[[#This Row],[Use (hr/yr)]]</f>
        <v>25.951324624552573</v>
      </c>
      <c r="Y26" s="180">
        <f>Implements712[[#This Row],[Depr ($/hr)]]+Implements712[[#This Row],[OH ($/hr)]]</f>
        <v>40.36979783545894</v>
      </c>
      <c r="Z26" s="180">
        <f>(Implements712[[#This Row],[PriceP]]-Implements712[[#This Row],[TradeIn$]])/Implements712[[#This Row],[Life (yr)]]/Implements712[[#This Row],[Use (ac/yr)]]</f>
        <v>0.38813023062228946</v>
      </c>
      <c r="AA26" s="201">
        <f>((Implements712[[#This Row],[PriceP]]+Implements712[[#This Row],[TradeIn$]])/2*($BP$7+$BP$8+$BP$9)+Implements712[[#This Row],[Shed (ft^2)]]*$BP$12)/Implements712[[#This Row],[Use (ac/yr)]]</f>
        <v>0.47918964474889852</v>
      </c>
      <c r="AB26"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0.55754798998062161</v>
      </c>
      <c r="AC26" s="182">
        <f>IF(Implements712[[#This Row],[Use basis]]="hour","-",$BP$18/(Implements712[[#This Row],[Width]]*Implements712[[#This Row],[Speed]]*Implements712[[#This Row],[Efficiency]]))</f>
        <v>2.1484375E-2</v>
      </c>
      <c r="AD26" s="163">
        <f>IF(Implements712[[#This Row],[Use basis]]=$N$128,Implements712[[#This Row],[Ownership costs ($/hr)]],SUM(Implements712[[#This Row],[Depr ($/ac)2]:[OH ($/ac)]]))</f>
        <v>0.86731987537118793</v>
      </c>
      <c r="AE26" s="163"/>
      <c r="AF26" s="163" t="s">
        <v>647</v>
      </c>
      <c r="AG26" s="163"/>
      <c r="AH26" s="202" t="str">
        <f t="shared" si="1"/>
        <v>350 HP Combine</v>
      </c>
      <c r="AI26" s="203">
        <v>350</v>
      </c>
      <c r="AJ26" s="171" t="s">
        <v>491</v>
      </c>
      <c r="AK26" s="227">
        <v>450000</v>
      </c>
      <c r="AL26" s="228">
        <v>0.2</v>
      </c>
      <c r="AM26" s="229">
        <f t="shared" si="2"/>
        <v>562500</v>
      </c>
      <c r="AN26" s="208">
        <f>VLOOKUP(Power2025914[[#This Row],[ASABEtype]],$BC$6:$BM$52,4,FALSE)</f>
        <v>3000</v>
      </c>
      <c r="AO26" s="206"/>
      <c r="AP26" s="209">
        <f>VLOOKUP(Power2025914[[#This Row],[ASABEtype]],ASABECoefficients813[],4,FALSE)/Power2025914[[#This Row],[Use (hr/yr)]]*(1-Power2025914[[#This Row],[Life used (%)]])</f>
        <v>10</v>
      </c>
      <c r="AQ26" s="171">
        <v>300</v>
      </c>
      <c r="AR26" s="239">
        <v>0.05</v>
      </c>
      <c r="AS26" s="171" t="s">
        <v>425</v>
      </c>
      <c r="AT26" s="171">
        <v>400</v>
      </c>
      <c r="AU26" s="213">
        <f>(VLOOKUP(Power2025914[[#This Row],[ASABEtype]],ASABECoefficients813[#Data],5)-VLOOKUP(Power2025914[[#This Row],[ASABEtype]],ASABECoefficients813[#Data],6)*MIN(Power2025914[[#This Row],[Lifespan (hours)]]/Power2025914[[#This Row],[Use (hr/yr)]],Power2025914[[#This Row],[Life (yr)]])^0.5-VLOOKUP(Power2025914[[#This Row],[ASABEtype]],ASABECoefficients813[#Data],7)*Power2025914[[#This Row],[Use (hr/yr)]]^0.5+VLOOKUP(Power2025914[[#This Row],[ASABEtype]],ASABECoefficients813[#Data],8)*$BP$17)^2+0.25*VLOOKUP(Power2025914[[#This Row],[ASABEtype]],ASABECoefficients813[#Data],9)</f>
        <v>0.20713247233901039</v>
      </c>
      <c r="AV26" s="230">
        <f>Power2025914[[#This Row],[TradeIn%]]*Power2025914[[#This Row],[PriceL]]</f>
        <v>116512.01569069334</v>
      </c>
      <c r="AW26" s="233">
        <f>(Power2025914[[#This Row],[PriceP]]-Power2025914[[#This Row],[TradeIn$]])/Power2025914[[#This Row],[Life (yr)]]/Power2025914[[#This Row],[Use (hr/yr)]]</f>
        <v>111.16266143643554</v>
      </c>
      <c r="AX26" s="216">
        <f>((Power2025914[[#This Row],[PriceP]]+Power2025914[[#This Row],[TradeIn$]])/2*($BP$7+$BP$8+$BP$9)+Power2025914[[#This Row],[Shed (ft^2)]]*$BP$12)/Power2025914[[#This Row],[Use (hr/yr)]]</f>
        <v>82.266722248999386</v>
      </c>
      <c r="AY26" s="217">
        <f>Power2025914[[#This Row],[PriceL]]*(VLOOKUP(Power2025914[[#This Row],[ASABEtype]],ASABECoefficients813[#Data],2)*(Power2025914[[#This Row],[Life (yr)]]*Power2025914[[#This Row],[Use (hr/yr)]]/1000)^VLOOKUP(Power2025914[[#This Row],[ASABEtype]],ASABECoefficients813[#Data],3))/Power2025914[[#This Row],[Life (yr)]]/Power2025914[[#This Row],[Use (hr/yr)]]+Power2025914[[#This Row],[Fuel (gal/hr)]]*$BP$10*$BP$11*(10*Power2025914[[#This Row],[Life used (%)]])</f>
        <v>75.338314247288579</v>
      </c>
      <c r="AZ26" s="232">
        <f>Power2025914[[#This Row],[Fuel (gal/hph)]]*Power2025914[[#This Row],[HP]]</f>
        <v>17.5</v>
      </c>
      <c r="BA26" s="233">
        <f t="shared" si="3"/>
        <v>193.42938368543491</v>
      </c>
      <c r="BB26" s="164"/>
      <c r="BC26" s="152" t="s">
        <v>658</v>
      </c>
      <c r="BD26" s="219">
        <v>0.04</v>
      </c>
      <c r="BE26" s="219">
        <v>2</v>
      </c>
      <c r="BF26" s="219">
        <v>7500</v>
      </c>
      <c r="BG26" s="219">
        <v>0.84930000000000005</v>
      </c>
      <c r="BH26" s="219">
        <v>9.6600000000000005E-2</v>
      </c>
      <c r="BI26" s="219">
        <v>5.8999999999999999E-3</v>
      </c>
      <c r="BJ26" s="219">
        <v>3.8E-3</v>
      </c>
      <c r="BK26" s="149">
        <f t="shared" si="4"/>
        <v>1.1278440000000001E-2</v>
      </c>
      <c r="BL26" s="219">
        <v>0.1062</v>
      </c>
      <c r="BM26" s="183"/>
    </row>
    <row r="27" spans="1:71">
      <c r="B27" s="144" t="str">
        <f>Implements712[[#This Row],[Implement type]]&amp;", "&amp;Implements712[[#This Row],[Width]]&amp;" "&amp;Implements712[[#This Row],[Width Unit]]</f>
        <v>Air boom spreader, 80 Ft</v>
      </c>
      <c r="C27" s="170" t="s">
        <v>825</v>
      </c>
      <c r="D27" s="171">
        <v>80</v>
      </c>
      <c r="E27" s="170" t="s">
        <v>402</v>
      </c>
      <c r="F27" s="171"/>
      <c r="G27" s="170" t="s">
        <v>826</v>
      </c>
      <c r="H27" s="172">
        <v>175000</v>
      </c>
      <c r="I27" s="173">
        <v>0.1</v>
      </c>
      <c r="J27" s="174">
        <f t="shared" si="5"/>
        <v>194444.44444444444</v>
      </c>
      <c r="K27" s="198">
        <f>VLOOKUP(Implements712[[#This Row],[ASABEtype]],ASABECoefficients813[],4,FALSE)/Implements712[[#This Row],[Use (hr/yr)]]</f>
        <v>12</v>
      </c>
      <c r="L27" s="171">
        <v>100</v>
      </c>
      <c r="M27" s="176">
        <f>IF(Implements712[[#This Row],[Use basis]]="hour",,L27*(D27*P27*Q27)/8.25)</f>
        <v>7757.575757575758</v>
      </c>
      <c r="N27" s="177" t="s">
        <v>654</v>
      </c>
      <c r="O27" s="171" t="s">
        <v>405</v>
      </c>
      <c r="P27" s="171">
        <v>10</v>
      </c>
      <c r="Q27" s="173">
        <v>0.8</v>
      </c>
      <c r="R27" s="173">
        <v>1.1499999999999999</v>
      </c>
      <c r="S27" s="171">
        <v>250</v>
      </c>
      <c r="T27"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0.34413236901087485</v>
      </c>
      <c r="U27" s="179">
        <f>Implements712[[#This Row],[TradeIn%]]*Implements712[[#This Row],[PriceL]]</f>
        <v>66914.627307670104</v>
      </c>
      <c r="V27" s="180">
        <f>(Implements712[[#This Row],[PriceP]]-Implements712[[#This Row],[TradeIn$]])/Implements712[[#This Row],[Life (yr)]]/Implements712[[#This Row],[Use (hr/yr)]]</f>
        <v>90.071143910274913</v>
      </c>
      <c r="W27" s="201">
        <f>((Implements712[[#This Row],[PriceP]]+Implements712[[#This Row],[TradeIn$]])/2*($BP$7+$BP$8+$BP$9)+Implements712[[#This Row],[Shed (ft^2)]]*$BP$12)/Implements712[[#This Row],[Use (hr/yr)]]</f>
        <v>106.02328974229813</v>
      </c>
      <c r="X27" s="180">
        <f>Implements712[[#This Row],[PriceL]]*(VLOOKUP(Implements712[[#This Row],[ASABEtype]],$BC$6:$BM$52,2)*(Implements712[[#This Row],[Life (yr)]]*Implements712[[#This Row],[Use (hr/yr)]]/1000)^VLOOKUP(Implements712[[#This Row],[ASABEtype]],$BC$6:$BM$52,3))/Implements712[[#This Row],[Life (yr)]]/Implements712[[#This Row],[Use (hr/yr)]]</f>
        <v>129.38694613380912</v>
      </c>
      <c r="Y27" s="180">
        <f>Implements712[[#This Row],[Depr ($/hr)]]+Implements712[[#This Row],[OH ($/hr)]]</f>
        <v>196.09443365257306</v>
      </c>
      <c r="Z27" s="180">
        <f>(Implements712[[#This Row],[PriceP]]-Implements712[[#This Row],[TradeIn$]])/Implements712[[#This Row],[Life (yr)]]/Implements712[[#This Row],[Use (ac/yr)]]</f>
        <v>1.1610733394683874</v>
      </c>
      <c r="AA27" s="201">
        <f>((Implements712[[#This Row],[PriceP]]+Implements712[[#This Row],[TradeIn$]])/2*($BP$7+$BP$8+$BP$9)+Implements712[[#This Row],[Shed (ft^2)]]*$BP$12)/Implements712[[#This Row],[Use (ac/yr)]]</f>
        <v>1.3667064693343118</v>
      </c>
      <c r="AB27"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1.6678786025061332</v>
      </c>
      <c r="AC27" s="182">
        <f>IF(Implements712[[#This Row],[Use basis]]="hour","-",$BP$18/(Implements712[[#This Row],[Width]]*Implements712[[#This Row],[Speed]]*Implements712[[#This Row],[Efficiency]]))</f>
        <v>1.2890624999999999E-2</v>
      </c>
      <c r="AD27" s="163">
        <f>IF(Implements712[[#This Row],[Use basis]]=$N$128,Implements712[[#This Row],[Ownership costs ($/hr)]],SUM(Implements712[[#This Row],[Depr ($/ac)2]:[OH ($/ac)]]))</f>
        <v>2.5277798088026993</v>
      </c>
      <c r="AE27" s="163"/>
      <c r="AF27" s="163" t="s">
        <v>647</v>
      </c>
      <c r="AG27" s="163"/>
      <c r="AH27" s="202" t="str">
        <f t="shared" si="1"/>
        <v>450 HP Combine</v>
      </c>
      <c r="AI27" s="203">
        <v>450</v>
      </c>
      <c r="AJ27" s="171" t="s">
        <v>491</v>
      </c>
      <c r="AK27" s="227">
        <v>510000</v>
      </c>
      <c r="AL27" s="228">
        <v>0.2</v>
      </c>
      <c r="AM27" s="229">
        <f t="shared" si="2"/>
        <v>637500</v>
      </c>
      <c r="AN27" s="208">
        <f>VLOOKUP(Power2025914[[#This Row],[ASABEtype]],$BC$6:$BM$52,4,FALSE)</f>
        <v>3000</v>
      </c>
      <c r="AO27" s="206"/>
      <c r="AP27" s="209">
        <f>VLOOKUP(Power2025914[[#This Row],[ASABEtype]],ASABECoefficients813[],4,FALSE)/Power2025914[[#This Row],[Use (hr/yr)]]*(1-Power2025914[[#This Row],[Life used (%)]])</f>
        <v>10</v>
      </c>
      <c r="AQ27" s="171">
        <v>300</v>
      </c>
      <c r="AR27" s="239">
        <v>0.05</v>
      </c>
      <c r="AS27" s="171" t="s">
        <v>425</v>
      </c>
      <c r="AT27" s="171">
        <v>500</v>
      </c>
      <c r="AU27" s="213">
        <f>(VLOOKUP(Power2025914[[#This Row],[ASABEtype]],ASABECoefficients813[#Data],5)-VLOOKUP(Power2025914[[#This Row],[ASABEtype]],ASABECoefficients813[#Data],6)*MIN(Power2025914[[#This Row],[Lifespan (hours)]]/Power2025914[[#This Row],[Use (hr/yr)]],Power2025914[[#This Row],[Life (yr)]])^0.5-VLOOKUP(Power2025914[[#This Row],[ASABEtype]],ASABECoefficients813[#Data],7)*Power2025914[[#This Row],[Use (hr/yr)]]^0.5+VLOOKUP(Power2025914[[#This Row],[ASABEtype]],ASABECoefficients813[#Data],8)*$BP$17)^2+0.25*VLOOKUP(Power2025914[[#This Row],[ASABEtype]],ASABECoefficients813[#Data],9)</f>
        <v>0.20713247233901039</v>
      </c>
      <c r="AV27" s="230">
        <f>Power2025914[[#This Row],[TradeIn%]]*Power2025914[[#This Row],[PriceL]]</f>
        <v>132046.95111611913</v>
      </c>
      <c r="AW27" s="233">
        <f>(Power2025914[[#This Row],[PriceP]]-Power2025914[[#This Row],[TradeIn$]])/Power2025914[[#This Row],[Life (yr)]]/Power2025914[[#This Row],[Use (hr/yr)]]</f>
        <v>125.98434962796028</v>
      </c>
      <c r="AX27" s="216">
        <f>((Power2025914[[#This Row],[PriceP]]+Power2025914[[#This Row],[TradeIn$]])/2*($BP$7+$BP$8+$BP$9)+Power2025914[[#This Row],[Shed (ft^2)]]*$BP$12)/Power2025914[[#This Row],[Use (hr/yr)]]</f>
        <v>93.360062993310407</v>
      </c>
      <c r="AY27" s="217">
        <f>Power2025914[[#This Row],[PriceL]]*(VLOOKUP(Power2025914[[#This Row],[ASABEtype]],ASABECoefficients813[#Data],2)*(Power2025914[[#This Row],[Life (yr)]]*Power2025914[[#This Row],[Use (hr/yr)]]/1000)^VLOOKUP(Power2025914[[#This Row],[ASABEtype]],ASABECoefficients813[#Data],3))/Power2025914[[#This Row],[Life (yr)]]/Power2025914[[#This Row],[Use (hr/yr)]]+Power2025914[[#This Row],[Fuel (gal/hr)]]*$BP$10*$BP$11*(10*Power2025914[[#This Row],[Life used (%)]])</f>
        <v>85.383422813593725</v>
      </c>
      <c r="AZ27" s="232">
        <f>Power2025914[[#This Row],[Fuel (gal/hph)]]*Power2025914[[#This Row],[HP]]</f>
        <v>22.5</v>
      </c>
      <c r="BA27" s="233">
        <f t="shared" si="3"/>
        <v>219.34441262127069</v>
      </c>
      <c r="BB27" s="164"/>
      <c r="BC27" s="152" t="s">
        <v>543</v>
      </c>
      <c r="BD27" s="219">
        <v>0.16</v>
      </c>
      <c r="BE27" s="219">
        <v>1.6</v>
      </c>
      <c r="BF27" s="219">
        <v>2000</v>
      </c>
      <c r="BG27" s="219">
        <v>0.86350000000000005</v>
      </c>
      <c r="BH27" s="219">
        <v>0.1288</v>
      </c>
      <c r="BI27" s="219">
        <v>0</v>
      </c>
      <c r="BJ27" s="219">
        <v>1.6999999999999999E-3</v>
      </c>
      <c r="BK27" s="149">
        <f t="shared" si="4"/>
        <v>2.4617610000000005E-2</v>
      </c>
      <c r="BL27" s="219">
        <v>0.15690000000000001</v>
      </c>
      <c r="BM27" s="183" t="s">
        <v>544</v>
      </c>
    </row>
    <row r="28" spans="1:71">
      <c r="B28" s="144" t="str">
        <f>Implements712[[#This Row],[Implement type]]&amp;", "&amp;Implements712[[#This Row],[Width]]&amp;" "&amp;Implements712[[#This Row],[Width Unit]]&amp; ", per "&amp;Implements712[[#This Row],[Use basis]]</f>
        <v>Cultimulcher, 21 Ft Folding, per acre</v>
      </c>
      <c r="C28" s="170" t="s">
        <v>407</v>
      </c>
      <c r="D28" s="171">
        <v>21</v>
      </c>
      <c r="E28" s="238" t="str">
        <f t="shared" ref="E28:E33" si="6">IF(D28&gt;15,"Ft Folding","Ft")</f>
        <v>Ft Folding</v>
      </c>
      <c r="F28" s="171"/>
      <c r="G28" s="170"/>
      <c r="H28" s="227">
        <v>67000</v>
      </c>
      <c r="I28" s="228">
        <v>0.1</v>
      </c>
      <c r="J28" s="174">
        <f t="shared" si="5"/>
        <v>74444.444444444438</v>
      </c>
      <c r="K28" s="198">
        <f>VLOOKUP(Implements712[[#This Row],[ASABEtype]],ASABECoefficients813[],4,FALSE)/Implements712[[#This Row],[Use (hr/yr)]]</f>
        <v>26.666666666666668</v>
      </c>
      <c r="L28" s="171">
        <v>75</v>
      </c>
      <c r="M28" s="176">
        <f>IF(Implements712[[#This Row],[Use basis]]="hour",,L28*(D28*P28*Q28)/8.25)</f>
        <v>973.63636363636363</v>
      </c>
      <c r="N28" s="177" t="s">
        <v>654</v>
      </c>
      <c r="O28" s="171" t="s">
        <v>408</v>
      </c>
      <c r="P28" s="171">
        <v>6</v>
      </c>
      <c r="Q28" s="228">
        <v>0.85</v>
      </c>
      <c r="R28" s="228">
        <v>1.05</v>
      </c>
      <c r="S28" s="171">
        <v>225</v>
      </c>
      <c r="T28"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0.19710527587345586</v>
      </c>
      <c r="U28" s="179">
        <f>Implements712[[#This Row],[TradeIn%]]*Implements712[[#This Row],[PriceL]]</f>
        <v>14673.392759468379</v>
      </c>
      <c r="V28" s="180">
        <f>(Implements712[[#This Row],[PriceP]]-Implements712[[#This Row],[TradeIn$]])/Implements712[[#This Row],[Life (yr)]]/Implements712[[#This Row],[Use (hr/yr)]]</f>
        <v>26.163303620265808</v>
      </c>
      <c r="W28" s="180">
        <f>((Implements712[[#This Row],[PriceP]]+Implements712[[#This Row],[TradeIn$]])/2*($BP$7+$BP$8+$BP$9)+Implements712[[#This Row],[Shed (ft^2)]]*$BP$12)/Implements712[[#This Row],[Use (hr/yr)]]</f>
        <v>49.226078515428533</v>
      </c>
      <c r="X28" s="180">
        <f>Implements712[[#This Row],[PriceL]]*(VLOOKUP(Implements712[[#This Row],[ASABEtype]],$BC$6:$BM$52,2)*(Implements712[[#This Row],[Life (yr)]]*Implements712[[#This Row],[Use (hr/yr)]]/1000)^VLOOKUP(Implements712[[#This Row],[ASABEtype]],$BC$6:$BM$52,3))/Implements712[[#This Row],[Life (yr)]]/Implements712[[#This Row],[Use (hr/yr)]]</f>
        <v>14.664297901175003</v>
      </c>
      <c r="Y28" s="180">
        <f>Implements712[[#This Row],[Depr ($/hr)]]+Implements712[[#This Row],[OH ($/hr)]]</f>
        <v>75.389382135694348</v>
      </c>
      <c r="Z28" s="180">
        <f>(Implements712[[#This Row],[PriceP]]-Implements712[[#This Row],[TradeIn$]])/Implements712[[#This Row],[Life (yr)]]/Implements712[[#This Row],[Use (ac/yr)]]</f>
        <v>2.0153805309728563</v>
      </c>
      <c r="AA28" s="201">
        <f>((Implements712[[#This Row],[PriceP]]+Implements712[[#This Row],[TradeIn$]])/2*($BP$7+$BP$8+$BP$9)+Implements712[[#This Row],[Shed (ft^2)]]*$BP$12)/Implements712[[#This Row],[Use (ac/yr)]]</f>
        <v>3.7919248156142427</v>
      </c>
      <c r="AB28"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1.1296027795022761</v>
      </c>
      <c r="AC28" s="182">
        <f>IF(Implements712[[#This Row],[Use basis]]="hour","-",$BP$18/(Implements712[[#This Row],[Width]]*Implements712[[#This Row],[Speed]]*Implements712[[#This Row],[Efficiency]]))</f>
        <v>7.7030812324929976E-2</v>
      </c>
      <c r="AD28" s="163">
        <f>IF(Implements712[[#This Row],[Use basis]]=$N$128,Implements712[[#This Row],[Ownership costs ($/hr)]],SUM(Implements712[[#This Row],[Depr ($/ac)2]:[OH ($/ac)]]))</f>
        <v>5.807305346587099</v>
      </c>
      <c r="AE28" s="163"/>
      <c r="AF28" s="144" t="s">
        <v>409</v>
      </c>
      <c r="AG28" s="163"/>
      <c r="AH28" s="202" t="str">
        <f t="shared" si="1"/>
        <v>600 HP Combine</v>
      </c>
      <c r="AI28" s="203">
        <v>600</v>
      </c>
      <c r="AJ28" s="171" t="s">
        <v>491</v>
      </c>
      <c r="AK28" s="227">
        <v>575000</v>
      </c>
      <c r="AL28" s="228">
        <v>0.2</v>
      </c>
      <c r="AM28" s="229">
        <f t="shared" si="2"/>
        <v>718750</v>
      </c>
      <c r="AN28" s="208">
        <f>VLOOKUP(Power2025914[[#This Row],[ASABEtype]],$BC$6:$BM$52,4,FALSE)</f>
        <v>3000</v>
      </c>
      <c r="AO28" s="206"/>
      <c r="AP28" s="209">
        <f>VLOOKUP(Power2025914[[#This Row],[ASABEtype]],ASABECoefficients813[],4,FALSE)/Power2025914[[#This Row],[Use (hr/yr)]]*(1-Power2025914[[#This Row],[Life used (%)]])</f>
        <v>10</v>
      </c>
      <c r="AQ28" s="171">
        <v>300</v>
      </c>
      <c r="AR28" s="239">
        <v>0.05</v>
      </c>
      <c r="AS28" s="171" t="s">
        <v>425</v>
      </c>
      <c r="AT28" s="171">
        <v>500</v>
      </c>
      <c r="AU28" s="213">
        <f>(VLOOKUP(Power2025914[[#This Row],[ASABEtype]],ASABECoefficients813[#Data],5)-VLOOKUP(Power2025914[[#This Row],[ASABEtype]],ASABECoefficients813[#Data],6)*MIN(Power2025914[[#This Row],[Lifespan (hours)]]/Power2025914[[#This Row],[Use (hr/yr)]],Power2025914[[#This Row],[Life (yr)]])^0.5-VLOOKUP(Power2025914[[#This Row],[ASABEtype]],ASABECoefficients813[#Data],7)*Power2025914[[#This Row],[Use (hr/yr)]]^0.5+VLOOKUP(Power2025914[[#This Row],[ASABEtype]],ASABECoefficients813[#Data],8)*$BP$17)^2+0.25*VLOOKUP(Power2025914[[#This Row],[ASABEtype]],ASABECoefficients813[#Data],9)</f>
        <v>0.20713247233901039</v>
      </c>
      <c r="AV28" s="230">
        <f>Power2025914[[#This Row],[TradeIn%]]*Power2025914[[#This Row],[PriceL]]</f>
        <v>148876.46449366372</v>
      </c>
      <c r="AW28" s="233">
        <f>(Power2025914[[#This Row],[PriceP]]-Power2025914[[#This Row],[TradeIn$]])/Power2025914[[#This Row],[Life (yr)]]/Power2025914[[#This Row],[Use (hr/yr)]]</f>
        <v>142.04117850211207</v>
      </c>
      <c r="AX28" s="216">
        <f>((Power2025914[[#This Row],[PriceP]]+Power2025914[[#This Row],[TradeIn$]])/2*($BP$7+$BP$8+$BP$9)+Power2025914[[#This Row],[Shed (ft^2)]]*$BP$12)/Power2025914[[#This Row],[Use (hr/yr)]]</f>
        <v>105.08895991075846</v>
      </c>
      <c r="AY28" s="217">
        <f>Power2025914[[#This Row],[PriceL]]*(VLOOKUP(Power2025914[[#This Row],[ASABEtype]],ASABECoefficients813[#Data],2)*(Power2025914[[#This Row],[Life (yr)]]*Power2025914[[#This Row],[Use (hr/yr)]]/1000)^VLOOKUP(Power2025914[[#This Row],[ASABEtype]],ASABECoefficients813[#Data],3))/Power2025914[[#This Row],[Life (yr)]]/Power2025914[[#This Row],[Use (hr/yr)]]+Power2025914[[#This Row],[Fuel (gal/hr)]]*$BP$10*$BP$11*(10*Power2025914[[#This Row],[Life used (%)]])</f>
        <v>96.265623760424305</v>
      </c>
      <c r="AZ28" s="232">
        <f>Power2025914[[#This Row],[Fuel (gal/hph)]]*Power2025914[[#This Row],[HP]]</f>
        <v>30</v>
      </c>
      <c r="BA28" s="233">
        <f t="shared" si="3"/>
        <v>247.13013841287054</v>
      </c>
      <c r="BB28" s="164"/>
      <c r="BC28" s="152" t="s">
        <v>487</v>
      </c>
      <c r="BD28" s="219">
        <v>5.0000000000000001E-3</v>
      </c>
      <c r="BE28" s="219">
        <v>2</v>
      </c>
      <c r="BF28" s="219">
        <v>8000</v>
      </c>
      <c r="BG28" s="219">
        <v>0.86409999999999998</v>
      </c>
      <c r="BH28" s="219">
        <v>0.15640000000000001</v>
      </c>
      <c r="BI28" s="219">
        <v>3.3999999999999998E-3</v>
      </c>
      <c r="BJ28" s="219">
        <v>4.5999999999999999E-3</v>
      </c>
      <c r="BK28" s="149">
        <f t="shared" si="4"/>
        <v>7.3959999999999989E-3</v>
      </c>
      <c r="BL28" s="219">
        <v>8.5999999999999993E-2</v>
      </c>
      <c r="BM28" s="183" t="s">
        <v>544</v>
      </c>
    </row>
    <row r="29" spans="1:71">
      <c r="B29" s="144" t="str">
        <f>Implements712[[#This Row],[Implement type]]&amp;", "&amp;Implements712[[#This Row],[Width]]&amp;" "&amp;Implements712[[#This Row],[Width Unit]]&amp; ", per "&amp;Implements712[[#This Row],[Use basis]]</f>
        <v>Field cultivator, 28 Ft Folding, per acre</v>
      </c>
      <c r="C29" s="170" t="s">
        <v>410</v>
      </c>
      <c r="D29" s="171">
        <v>28</v>
      </c>
      <c r="E29" s="238" t="str">
        <f t="shared" si="6"/>
        <v>Ft Folding</v>
      </c>
      <c r="F29" s="171"/>
      <c r="G29" s="171"/>
      <c r="H29" s="227">
        <v>54500</v>
      </c>
      <c r="I29" s="228">
        <v>0.1</v>
      </c>
      <c r="J29" s="174">
        <f t="shared" si="5"/>
        <v>60555.555555555555</v>
      </c>
      <c r="K29" s="198">
        <f>VLOOKUP(Implements712[[#This Row],[ASABEtype]],ASABECoefficients813[],4,FALSE)/Implements712[[#This Row],[Use (hr/yr)]]</f>
        <v>20</v>
      </c>
      <c r="L29" s="171">
        <v>100</v>
      </c>
      <c r="M29" s="176">
        <f>IF(Implements712[[#This Row],[Use basis]]="hour",,L29*(D29*P29*Q29)/8.25)</f>
        <v>2163.6363636363635</v>
      </c>
      <c r="N29" s="177" t="s">
        <v>654</v>
      </c>
      <c r="O29" s="171" t="s">
        <v>411</v>
      </c>
      <c r="P29" s="171">
        <v>7.5</v>
      </c>
      <c r="Q29" s="228">
        <v>0.85</v>
      </c>
      <c r="R29" s="228">
        <v>1.05</v>
      </c>
      <c r="S29" s="171">
        <v>200</v>
      </c>
      <c r="T29"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0.24787241594786602</v>
      </c>
      <c r="U29" s="179">
        <f>Implements712[[#This Row],[TradeIn%]]*Implements712[[#This Row],[PriceL]]</f>
        <v>15010.051854620775</v>
      </c>
      <c r="V29" s="180">
        <f>(Implements712[[#This Row],[PriceP]]-Implements712[[#This Row],[TradeIn$]])/Implements712[[#This Row],[Life (yr)]]/Implements712[[#This Row],[Use (hr/yr)]]</f>
        <v>19.744974072689612</v>
      </c>
      <c r="W29" s="180">
        <f>((Implements712[[#This Row],[PriceP]]+Implements712[[#This Row],[TradeIn$]])/2*($BP$7+$BP$8+$BP$9)+Implements712[[#This Row],[Shed (ft^2)]]*$BP$12)/Implements712[[#This Row],[Use (hr/yr)]]</f>
        <v>31.489322297486929</v>
      </c>
      <c r="X29" s="180">
        <f>Implements712[[#This Row],[PriceL]]*(VLOOKUP(Implements712[[#This Row],[ASABEtype]],$BC$6:$BM$52,2)*(Implements712[[#This Row],[Life (yr)]]*Implements712[[#This Row],[Use (hr/yr)]]/1000)^VLOOKUP(Implements712[[#This Row],[ASABEtype]],$BC$6:$BM$52,3))/Implements712[[#This Row],[Life (yr)]]/Implements712[[#This Row],[Use (hr/yr)]]</f>
        <v>21.573954341136822</v>
      </c>
      <c r="Y29" s="180">
        <f>Implements712[[#This Row],[Depr ($/hr)]]+Implements712[[#This Row],[OH ($/hr)]]</f>
        <v>51.234296370176537</v>
      </c>
      <c r="Z29" s="180">
        <f>(Implements712[[#This Row],[PriceP]]-Implements712[[#This Row],[TradeIn$]])/Implements712[[#This Row],[Life (yr)]]/Implements712[[#This Row],[Use (ac/yr)]]</f>
        <v>0.91258283529237716</v>
      </c>
      <c r="AA29" s="201">
        <f>((Implements712[[#This Row],[PriceP]]+Implements712[[#This Row],[TradeIn$]])/2*($BP$7+$BP$8+$BP$9)+Implements712[[#This Row],[Shed (ft^2)]]*$BP$12)/Implements712[[#This Row],[Use (ac/yr)]]</f>
        <v>1.4553888456821691</v>
      </c>
      <c r="AB29"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0.99711553677523135</v>
      </c>
      <c r="AC29" s="182">
        <f>IF(Implements712[[#This Row],[Use basis]]="hour","-",$BP$18/(Implements712[[#This Row],[Width]]*Implements712[[#This Row],[Speed]]*Implements712[[#This Row],[Efficiency]]))</f>
        <v>4.6218487394957986E-2</v>
      </c>
      <c r="AD29" s="163">
        <f>IF(Implements712[[#This Row],[Use basis]]=$N$128,Implements712[[#This Row],[Ownership costs ($/hr)]],SUM(Implements712[[#This Row],[Depr ($/ac)2]:[OH ($/ac)]]))</f>
        <v>2.3679716809745464</v>
      </c>
      <c r="AE29" s="240">
        <v>8</v>
      </c>
      <c r="AF29" s="144" t="s">
        <v>409</v>
      </c>
      <c r="AG29" s="163"/>
      <c r="AH29" s="202" t="str">
        <f t="shared" si="1"/>
        <v>525 HP SP Forage Harvester Base Unit</v>
      </c>
      <c r="AI29" s="203">
        <v>525</v>
      </c>
      <c r="AJ29" s="171" t="s">
        <v>492</v>
      </c>
      <c r="AK29" s="227">
        <v>625000</v>
      </c>
      <c r="AL29" s="228">
        <v>0.2</v>
      </c>
      <c r="AM29" s="229">
        <f t="shared" si="2"/>
        <v>781250</v>
      </c>
      <c r="AN29" s="208">
        <f>VLOOKUP(Power2025914[[#This Row],[ASABEtype]],$BC$6:$BM$52,4,FALSE)</f>
        <v>4000</v>
      </c>
      <c r="AO29" s="206"/>
      <c r="AP29" s="209">
        <f>VLOOKUP(Power2025914[[#This Row],[ASABEtype]],ASABECoefficients813[],4,FALSE)/Power2025914[[#This Row],[Use (hr/yr)]]*(1-Power2025914[[#This Row],[Life used (%)]])</f>
        <v>13.333333333333334</v>
      </c>
      <c r="AQ29" s="171">
        <v>300</v>
      </c>
      <c r="AR29" s="274">
        <v>0.05</v>
      </c>
      <c r="AS29" s="171" t="s">
        <v>420</v>
      </c>
      <c r="AT29" s="171">
        <v>500</v>
      </c>
      <c r="AU29" s="213">
        <f>(VLOOKUP(Power2025914[[#This Row],[ASABEtype]],ASABECoefficients813[#Data],5)-VLOOKUP(Power2025914[[#This Row],[ASABEtype]],ASABECoefficients813[#Data],6)*MIN(Power2025914[[#This Row],[Lifespan (hours)]]/Power2025914[[#This Row],[Use (hr/yr)]],Power2025914[[#This Row],[Life (yr)]])^0.5-VLOOKUP(Power2025914[[#This Row],[ASABEtype]],ASABECoefficients813[#Data],7)*Power2025914[[#This Row],[Use (hr/yr)]]^0.5+VLOOKUP(Power2025914[[#This Row],[ASABEtype]],ASABECoefficients813[#Data],8)*$BP$17)^2+0.25*VLOOKUP(Power2025914[[#This Row],[ASABEtype]],ASABECoefficients813[#Data],9)</f>
        <v>0.46635983626996347</v>
      </c>
      <c r="AV29" s="230">
        <f>Power2025914[[#This Row],[TradeIn%]]*Power2025914[[#This Row],[PriceL]]</f>
        <v>364343.62208590895</v>
      </c>
      <c r="AW29" s="233">
        <f>(Power2025914[[#This Row],[PriceP]]-Power2025914[[#This Row],[TradeIn$]])/Power2025914[[#This Row],[Life (yr)]]/Power2025914[[#This Row],[Use (hr/yr)]]</f>
        <v>65.164094478522756</v>
      </c>
      <c r="AX29" s="216">
        <f>((Power2025914[[#This Row],[PriceP]]+Power2025914[[#This Row],[TradeIn$]])/2*($BP$7+$BP$8+$BP$9)+Power2025914[[#This Row],[Shed (ft^2)]]*$BP$12)/Power2025914[[#This Row],[Use (hr/yr)]]</f>
        <v>143.13925249898026</v>
      </c>
      <c r="AY29" s="217">
        <f>Power2025914[[#This Row],[PriceL]]*(VLOOKUP(Power2025914[[#This Row],[ASABEtype]],ASABECoefficients813[#Data],2)*(Power2025914[[#This Row],[Life (yr)]]*Power2025914[[#This Row],[Use (hr/yr)]]/1000)^VLOOKUP(Power2025914[[#This Row],[ASABEtype]],ASABECoefficients813[#Data],3))/Power2025914[[#This Row],[Life (yr)]]/Power2025914[[#This Row],[Use (hr/yr)]]+Power2025914[[#This Row],[Fuel (gal/hr)]]*$BP$10*$BP$11*(10*Power2025914[[#This Row],[Life used (%)]])</f>
        <v>93.75</v>
      </c>
      <c r="AZ29" s="232">
        <f>Power2025914[[#This Row],[Fuel (gal/hph)]]*Power2025914[[#This Row],[HP]]</f>
        <v>26.25</v>
      </c>
      <c r="BA29" s="233">
        <f t="shared" si="3"/>
        <v>208.303346977503</v>
      </c>
      <c r="BB29" s="164"/>
      <c r="BC29" s="152" t="s">
        <v>545</v>
      </c>
      <c r="BD29" s="219">
        <v>0.28999999999999998</v>
      </c>
      <c r="BE29" s="219">
        <v>1.8</v>
      </c>
      <c r="BF29" s="219">
        <v>2000</v>
      </c>
      <c r="BG29" s="219">
        <v>0.69269999999999998</v>
      </c>
      <c r="BH29" s="219">
        <v>7.0300000000000001E-2</v>
      </c>
      <c r="BI29" s="219">
        <v>0</v>
      </c>
      <c r="BJ29" s="219">
        <v>1.1999999999999999E-3</v>
      </c>
      <c r="BK29" s="149">
        <f t="shared" si="4"/>
        <v>1.4957290000000002E-2</v>
      </c>
      <c r="BL29" s="219">
        <v>0.12230000000000001</v>
      </c>
      <c r="BM29" s="183"/>
    </row>
    <row r="30" spans="1:71">
      <c r="B30" s="144" t="str">
        <f>Implements712[[#This Row],[Implement type]]&amp;", "&amp;Implements712[[#This Row],[Width]]&amp;" "&amp;Implements712[[#This Row],[Width Unit]]&amp; ", per "&amp;Implements712[[#This Row],[Use basis]]</f>
        <v>Field cultivator, 42 Ft Folding, per acre</v>
      </c>
      <c r="C30" s="170" t="s">
        <v>410</v>
      </c>
      <c r="D30" s="171">
        <v>42</v>
      </c>
      <c r="E30" s="238" t="str">
        <f t="shared" si="6"/>
        <v>Ft Folding</v>
      </c>
      <c r="F30" s="171"/>
      <c r="G30" s="171"/>
      <c r="H30" s="227">
        <v>109000</v>
      </c>
      <c r="I30" s="228">
        <v>0.1</v>
      </c>
      <c r="J30" s="174">
        <f t="shared" si="5"/>
        <v>121111.11111111111</v>
      </c>
      <c r="K30" s="198">
        <f>VLOOKUP(Implements712[[#This Row],[ASABEtype]],ASABECoefficients813[],4,FALSE)/Implements712[[#This Row],[Use (hr/yr)]]</f>
        <v>20</v>
      </c>
      <c r="L30" s="171">
        <v>100</v>
      </c>
      <c r="M30" s="176">
        <f>IF(Implements712[[#This Row],[Use basis]]="hour",,L30*(D30*P30*Q30)/8.25)</f>
        <v>3245.4545454545455</v>
      </c>
      <c r="N30" s="177" t="s">
        <v>654</v>
      </c>
      <c r="O30" s="171" t="s">
        <v>411</v>
      </c>
      <c r="P30" s="171">
        <v>7.5</v>
      </c>
      <c r="Q30" s="228">
        <v>0.85</v>
      </c>
      <c r="R30" s="228">
        <v>1.05</v>
      </c>
      <c r="S30" s="171">
        <v>400</v>
      </c>
      <c r="T30"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0.24787241594786602</v>
      </c>
      <c r="U30" s="179">
        <f>Implements712[[#This Row],[TradeIn%]]*Implements712[[#This Row],[PriceL]]</f>
        <v>30020.10370924155</v>
      </c>
      <c r="V30" s="180">
        <f>(Implements712[[#This Row],[PriceP]]-Implements712[[#This Row],[TradeIn$]])/Implements712[[#This Row],[Life (yr)]]/Implements712[[#This Row],[Use (hr/yr)]]</f>
        <v>39.489948145379223</v>
      </c>
      <c r="W30" s="180">
        <f>((Implements712[[#This Row],[PriceP]]+Implements712[[#This Row],[TradeIn$]])/2*($BP$7+$BP$8+$BP$9)+Implements712[[#This Row],[Shed (ft^2)]]*$BP$12)/Implements712[[#This Row],[Use (hr/yr)]]</f>
        <v>62.978644594973858</v>
      </c>
      <c r="X30" s="180">
        <f>Implements712[[#This Row],[PriceL]]*(VLOOKUP(Implements712[[#This Row],[ASABEtype]],$BC$6:$BM$52,2)*(Implements712[[#This Row],[Life (yr)]]*Implements712[[#This Row],[Use (hr/yr)]]/1000)^VLOOKUP(Implements712[[#This Row],[ASABEtype]],$BC$6:$BM$52,3))/Implements712[[#This Row],[Life (yr)]]/Implements712[[#This Row],[Use (hr/yr)]]</f>
        <v>43.147908682273645</v>
      </c>
      <c r="Y30" s="180">
        <f>Implements712[[#This Row],[Depr ($/hr)]]+Implements712[[#This Row],[OH ($/hr)]]</f>
        <v>102.46859274035307</v>
      </c>
      <c r="Z30" s="180">
        <f>(Implements712[[#This Row],[PriceP]]-Implements712[[#This Row],[TradeIn$]])/Implements712[[#This Row],[Life (yr)]]/Implements712[[#This Row],[Use (ac/yr)]]</f>
        <v>1.2167771137231693</v>
      </c>
      <c r="AA30" s="201">
        <f>((Implements712[[#This Row],[PriceP]]+Implements712[[#This Row],[TradeIn$]])/2*($BP$7+$BP$8+$BP$9)+Implements712[[#This Row],[Shed (ft^2)]]*$BP$12)/Implements712[[#This Row],[Use (ac/yr)]]</f>
        <v>1.9405184609095587</v>
      </c>
      <c r="AB30"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1.3294873823669751</v>
      </c>
      <c r="AC30" s="182">
        <f>IF(Implements712[[#This Row],[Use basis]]="hour","-",$BP$18/(Implements712[[#This Row],[Width]]*Implements712[[#This Row],[Speed]]*Implements712[[#This Row],[Efficiency]]))</f>
        <v>3.081232492997199E-2</v>
      </c>
      <c r="AD30" s="163">
        <f>IF(Implements712[[#This Row],[Use basis]]=$N$128,Implements712[[#This Row],[Ownership costs ($/hr)]],SUM(Implements712[[#This Row],[Depr ($/ac)2]:[OH ($/ac)]]))</f>
        <v>3.157295574632728</v>
      </c>
      <c r="AE30" s="240">
        <v>9</v>
      </c>
      <c r="AF30" s="144" t="s">
        <v>409</v>
      </c>
      <c r="AG30" s="163"/>
      <c r="AH30" s="202" t="str">
        <f t="shared" si="1"/>
        <v>750 HP SP Forage Harvester Base Unit</v>
      </c>
      <c r="AI30" s="203">
        <v>750</v>
      </c>
      <c r="AJ30" s="171" t="s">
        <v>492</v>
      </c>
      <c r="AK30" s="227">
        <v>775000</v>
      </c>
      <c r="AL30" s="228">
        <v>0.2</v>
      </c>
      <c r="AM30" s="229">
        <f t="shared" si="2"/>
        <v>968750</v>
      </c>
      <c r="AN30" s="208">
        <f>VLOOKUP(Power2025914[[#This Row],[ASABEtype]],$BC$6:$BM$52,4,FALSE)</f>
        <v>4000</v>
      </c>
      <c r="AO30" s="206"/>
      <c r="AP30" s="209">
        <f>VLOOKUP(Power2025914[[#This Row],[ASABEtype]],ASABECoefficients813[],4,FALSE)/Power2025914[[#This Row],[Use (hr/yr)]]*(1-Power2025914[[#This Row],[Life used (%)]])</f>
        <v>13.333333333333334</v>
      </c>
      <c r="AQ30" s="171">
        <v>300</v>
      </c>
      <c r="AR30" s="274">
        <v>0.05</v>
      </c>
      <c r="AS30" s="171" t="s">
        <v>420</v>
      </c>
      <c r="AT30" s="171">
        <v>500</v>
      </c>
      <c r="AU30" s="213">
        <f>(VLOOKUP(Power2025914[[#This Row],[ASABEtype]],ASABECoefficients813[#Data],5)-VLOOKUP(Power2025914[[#This Row],[ASABEtype]],ASABECoefficients813[#Data],6)*MIN(Power2025914[[#This Row],[Lifespan (hours)]]/Power2025914[[#This Row],[Use (hr/yr)]],Power2025914[[#This Row],[Life (yr)]])^0.5-VLOOKUP(Power2025914[[#This Row],[ASABEtype]],ASABECoefficients813[#Data],7)*Power2025914[[#This Row],[Use (hr/yr)]]^0.5+VLOOKUP(Power2025914[[#This Row],[ASABEtype]],ASABECoefficients813[#Data],8)*$BP$17)^2+0.25*VLOOKUP(Power2025914[[#This Row],[ASABEtype]],ASABECoefficients813[#Data],9)</f>
        <v>0.46635983626996347</v>
      </c>
      <c r="AV30" s="230">
        <f>Power2025914[[#This Row],[TradeIn%]]*Power2025914[[#This Row],[PriceL]]</f>
        <v>451786.09138652711</v>
      </c>
      <c r="AW30" s="233">
        <f>(Power2025914[[#This Row],[PriceP]]-Power2025914[[#This Row],[TradeIn$]])/Power2025914[[#This Row],[Life (yr)]]/Power2025914[[#This Row],[Use (hr/yr)]]</f>
        <v>80.80347715336822</v>
      </c>
      <c r="AX30" s="216">
        <f>((Power2025914[[#This Row],[PriceP]]+Power2025914[[#This Row],[TradeIn$]])/2*($BP$7+$BP$8+$BP$9)+Power2025914[[#This Row],[Shed (ft^2)]]*$BP$12)/Power2025914[[#This Row],[Use (hr/yr)]]</f>
        <v>177.17267309873554</v>
      </c>
      <c r="AY30" s="217">
        <f>Power2025914[[#This Row],[PriceL]]*(VLOOKUP(Power2025914[[#This Row],[ASABEtype]],ASABECoefficients813[#Data],2)*(Power2025914[[#This Row],[Life (yr)]]*Power2025914[[#This Row],[Use (hr/yr)]]/1000)^VLOOKUP(Power2025914[[#This Row],[ASABEtype]],ASABECoefficients813[#Data],3))/Power2025914[[#This Row],[Life (yr)]]/Power2025914[[#This Row],[Use (hr/yr)]]+Power2025914[[#This Row],[Fuel (gal/hr)]]*$BP$10*$BP$11*(10*Power2025914[[#This Row],[Life used (%)]])</f>
        <v>116.25</v>
      </c>
      <c r="AZ30" s="232">
        <f>Power2025914[[#This Row],[Fuel (gal/hph)]]*Power2025914[[#This Row],[HP]]</f>
        <v>37.5</v>
      </c>
      <c r="BA30" s="233">
        <f t="shared" si="3"/>
        <v>257.97615025210376</v>
      </c>
      <c r="BB30" s="164"/>
      <c r="BC30" s="152" t="s">
        <v>546</v>
      </c>
      <c r="BD30" s="219">
        <v>0.46</v>
      </c>
      <c r="BE30" s="219">
        <v>1.7</v>
      </c>
      <c r="BF30" s="219">
        <v>2000</v>
      </c>
      <c r="BG30" s="219">
        <v>0.90229999999999999</v>
      </c>
      <c r="BH30" s="219">
        <v>9.4299999999999995E-2</v>
      </c>
      <c r="BI30" s="219">
        <v>0</v>
      </c>
      <c r="BJ30" s="219">
        <v>-4.0000000000000002E-4</v>
      </c>
      <c r="BK30" s="149">
        <f t="shared" si="4"/>
        <v>1.1513290000000001E-2</v>
      </c>
      <c r="BL30" s="219">
        <v>0.10730000000000001</v>
      </c>
      <c r="BM30" s="183"/>
    </row>
    <row r="31" spans="1:71">
      <c r="B31" s="144" t="str">
        <f>Implements712[[#This Row],[Implement type]]&amp;", "&amp;Implements712[[#This Row],[Width]]&amp;" "&amp;Implements712[[#This Row],[Width Unit]]&amp; ", per "&amp;Implements712[[#This Row],[Use basis]]</f>
        <v>Field cultivator, 55 Ft Folding, per acre</v>
      </c>
      <c r="C31" s="170" t="s">
        <v>410</v>
      </c>
      <c r="D31" s="171">
        <v>55</v>
      </c>
      <c r="E31" s="238" t="str">
        <f t="shared" si="6"/>
        <v>Ft Folding</v>
      </c>
      <c r="F31" s="171"/>
      <c r="G31" s="171"/>
      <c r="H31" s="227">
        <v>137500</v>
      </c>
      <c r="I31" s="228">
        <v>0.1</v>
      </c>
      <c r="J31" s="174">
        <f t="shared" si="5"/>
        <v>152777.77777777778</v>
      </c>
      <c r="K31" s="198">
        <f>VLOOKUP(Implements712[[#This Row],[ASABEtype]],ASABECoefficients813[],4,FALSE)/Implements712[[#This Row],[Use (hr/yr)]]</f>
        <v>20</v>
      </c>
      <c r="L31" s="171">
        <v>100</v>
      </c>
      <c r="M31" s="176">
        <f>IF(Implements712[[#This Row],[Use basis]]="hour",,L31*(D31*P31*Q31)/8.25)</f>
        <v>4250</v>
      </c>
      <c r="N31" s="177" t="s">
        <v>654</v>
      </c>
      <c r="O31" s="171" t="s">
        <v>411</v>
      </c>
      <c r="P31" s="171">
        <v>7.5</v>
      </c>
      <c r="Q31" s="228">
        <v>0.85</v>
      </c>
      <c r="R31" s="228">
        <v>1.05</v>
      </c>
      <c r="S31" s="171">
        <v>400</v>
      </c>
      <c r="T31"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0.24787241594786602</v>
      </c>
      <c r="U31" s="179">
        <f>Implements712[[#This Row],[TradeIn%]]*Implements712[[#This Row],[PriceL]]</f>
        <v>37869.396880923974</v>
      </c>
      <c r="V31" s="180">
        <f>(Implements712[[#This Row],[PriceP]]-Implements712[[#This Row],[TradeIn$]])/Implements712[[#This Row],[Life (yr)]]/Implements712[[#This Row],[Use (hr/yr)]]</f>
        <v>49.815301559538014</v>
      </c>
      <c r="W31" s="180">
        <f>((Implements712[[#This Row],[PriceP]]+Implements712[[#This Row],[TradeIn$]])/2*($BP$7+$BP$8+$BP$9)+Implements712[[#This Row],[Shed (ft^2)]]*$BP$12)/Implements712[[#This Row],[Use (hr/yr)]]</f>
        <v>78.608840658797305</v>
      </c>
      <c r="X31" s="180">
        <f>Implements712[[#This Row],[PriceL]]*(VLOOKUP(Implements712[[#This Row],[ASABEtype]],$BC$6:$BM$52,2)*(Implements712[[#This Row],[Life (yr)]]*Implements712[[#This Row],[Use (hr/yr)]]/1000)^VLOOKUP(Implements712[[#This Row],[ASABEtype]],$BC$6:$BM$52,3))/Implements712[[#This Row],[Life (yr)]]/Implements712[[#This Row],[Use (hr/yr)]]</f>
        <v>54.429701319381891</v>
      </c>
      <c r="Y31" s="180">
        <f>Implements712[[#This Row],[Depr ($/hr)]]+Implements712[[#This Row],[OH ($/hr)]]</f>
        <v>128.42414221833531</v>
      </c>
      <c r="Z31" s="180">
        <f>(Implements712[[#This Row],[PriceP]]-Implements712[[#This Row],[TradeIn$]])/Implements712[[#This Row],[Life (yr)]]/Implements712[[#This Row],[Use (ac/yr)]]</f>
        <v>1.1721247425773649</v>
      </c>
      <c r="AA31" s="201">
        <f>((Implements712[[#This Row],[PriceP]]+Implements712[[#This Row],[TradeIn$]])/2*($BP$7+$BP$8+$BP$9)+Implements712[[#This Row],[Shed (ft^2)]]*$BP$12)/Implements712[[#This Row],[Use (ac/yr)]]</f>
        <v>1.8496197802069954</v>
      </c>
      <c r="AB31"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1.2806988545736917</v>
      </c>
      <c r="AC31" s="182">
        <f>IF(Implements712[[#This Row],[Use basis]]="hour","-",$BP$18/(Implements712[[#This Row],[Width]]*Implements712[[#This Row],[Speed]]*Implements712[[#This Row],[Efficiency]]))</f>
        <v>2.3529411764705882E-2</v>
      </c>
      <c r="AD31" s="163">
        <f>IF(Implements712[[#This Row],[Use basis]]=$N$128,Implements712[[#This Row],[Ownership costs ($/hr)]],SUM(Implements712[[#This Row],[Depr ($/ac)2]:[OH ($/ac)]]))</f>
        <v>3.0217445227843602</v>
      </c>
      <c r="AE31" s="240">
        <v>10</v>
      </c>
      <c r="AF31" s="144" t="s">
        <v>409</v>
      </c>
      <c r="AG31" s="163"/>
      <c r="AH31" s="202" t="str">
        <f t="shared" si="1"/>
        <v>500 HP SP Cotton Picker</v>
      </c>
      <c r="AI31" s="203">
        <v>500</v>
      </c>
      <c r="AJ31" s="171" t="s">
        <v>648</v>
      </c>
      <c r="AK31" s="172"/>
      <c r="AL31" s="173"/>
      <c r="AM31" s="229"/>
      <c r="AN31" s="174"/>
      <c r="AO31" s="173"/>
      <c r="AP31" s="241"/>
      <c r="AQ31" s="171"/>
      <c r="AR31" s="274">
        <v>0.05</v>
      </c>
      <c r="AS31" s="171" t="s">
        <v>420</v>
      </c>
      <c r="AT31" s="171">
        <v>500</v>
      </c>
      <c r="AU31" s="242"/>
      <c r="AV31" s="230"/>
      <c r="AW31" s="233"/>
      <c r="AX31" s="243"/>
      <c r="AY31" s="244"/>
      <c r="AZ31" s="232">
        <f>Power2025914[[#This Row],[Fuel (gal/hph)]]*Power2025914[[#This Row],[HP]]</f>
        <v>25</v>
      </c>
      <c r="BA31" s="233"/>
      <c r="BB31" s="144" t="s">
        <v>677</v>
      </c>
      <c r="BC31" s="152" t="s">
        <v>433</v>
      </c>
      <c r="BD31" s="219">
        <v>0.44</v>
      </c>
      <c r="BE31" s="219">
        <v>2</v>
      </c>
      <c r="BF31" s="219">
        <v>2000</v>
      </c>
      <c r="BG31" s="219">
        <v>0.90229999999999999</v>
      </c>
      <c r="BH31" s="219">
        <v>9.4299999999999995E-2</v>
      </c>
      <c r="BI31" s="219">
        <v>0</v>
      </c>
      <c r="BJ31" s="219">
        <v>-4.0000000000000002E-4</v>
      </c>
      <c r="BK31" s="149">
        <f t="shared" si="4"/>
        <v>1.1513290000000001E-2</v>
      </c>
      <c r="BL31" s="219">
        <v>0.10730000000000001</v>
      </c>
      <c r="BM31" s="183"/>
    </row>
    <row r="32" spans="1:71">
      <c r="B32" s="144" t="str">
        <f>Implements712[[#This Row],[Implement type]]&amp;", "&amp;Implements712[[#This Row],[Width]]&amp;" "&amp;Implements712[[#This Row],[Width Unit]]&amp; ", per "&amp;Implements712[[#This Row],[Use basis]]</f>
        <v>Tandem disk, 21 Ft Folding, per acre</v>
      </c>
      <c r="C32" s="170" t="s">
        <v>412</v>
      </c>
      <c r="D32" s="171">
        <v>21</v>
      </c>
      <c r="E32" s="238" t="str">
        <f t="shared" si="6"/>
        <v>Ft Folding</v>
      </c>
      <c r="F32" s="171"/>
      <c r="G32" s="171"/>
      <c r="H32" s="227">
        <v>85500</v>
      </c>
      <c r="I32" s="228">
        <v>0.1</v>
      </c>
      <c r="J32" s="174">
        <f t="shared" si="5"/>
        <v>95000</v>
      </c>
      <c r="K32" s="198">
        <f>VLOOKUP(Implements712[[#This Row],[ASABEtype]],ASABECoefficients813[],4,FALSE)/Implements712[[#This Row],[Use (hr/yr)]]</f>
        <v>20</v>
      </c>
      <c r="L32" s="171">
        <v>100</v>
      </c>
      <c r="M32" s="176">
        <f>IF(Implements712[[#This Row],[Use basis]]="hour",,L32*(D32*P32*Q32)/8.25)</f>
        <v>1298.1818181818182</v>
      </c>
      <c r="N32" s="177" t="s">
        <v>654</v>
      </c>
      <c r="O32" s="171" t="s">
        <v>413</v>
      </c>
      <c r="P32" s="171">
        <v>6</v>
      </c>
      <c r="Q32" s="228">
        <v>0.85</v>
      </c>
      <c r="R32" s="228">
        <v>1.05</v>
      </c>
      <c r="S32" s="171">
        <v>260</v>
      </c>
      <c r="T32"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0.26998000708523695</v>
      </c>
      <c r="U32" s="179">
        <f>Implements712[[#This Row],[TradeIn%]]*Implements712[[#This Row],[PriceL]]</f>
        <v>25648.10067309751</v>
      </c>
      <c r="V32" s="180">
        <f>(Implements712[[#This Row],[PriceP]]-Implements712[[#This Row],[TradeIn$]])/Implements712[[#This Row],[Life (yr)]]/Implements712[[#This Row],[Use (hr/yr)]]</f>
        <v>29.925949663451249</v>
      </c>
      <c r="W32" s="180">
        <f>((Implements712[[#This Row],[PriceP]]+Implements712[[#This Row],[TradeIn$]])/2*($BP$7+$BP$8+$BP$9)+Implements712[[#This Row],[Shed (ft^2)]]*$BP$12)/Implements712[[#This Row],[Use (hr/yr)]]</f>
        <v>49.873683289431916</v>
      </c>
      <c r="X32" s="180">
        <f>Implements712[[#This Row],[PriceL]]*(VLOOKUP(Implements712[[#This Row],[ASABEtype]],$BC$6:$BM$52,2)*(Implements712[[#This Row],[Life (yr)]]*Implements712[[#This Row],[Use (hr/yr)]]/1000)^VLOOKUP(Implements712[[#This Row],[ASABEtype]],$BC$6:$BM$52,3))/Implements712[[#This Row],[Life (yr)]]/Implements712[[#This Row],[Use (hr/yr)]]</f>
        <v>27.779031955383246</v>
      </c>
      <c r="Y32" s="180">
        <f>Implements712[[#This Row],[Depr ($/hr)]]+Implements712[[#This Row],[OH ($/hr)]]</f>
        <v>79.799632952883172</v>
      </c>
      <c r="Z32" s="180">
        <f>(Implements712[[#This Row],[PriceP]]-Implements712[[#This Row],[TradeIn$]])/Implements712[[#This Row],[Life (yr)]]/Implements712[[#This Row],[Use (ac/yr)]]</f>
        <v>2.3052202121706142</v>
      </c>
      <c r="AA32" s="201">
        <f>((Implements712[[#This Row],[PriceP]]+Implements712[[#This Row],[TradeIn$]])/2*($BP$7+$BP$8+$BP$9)+Implements712[[#This Row],[Shed (ft^2)]]*$BP$12)/Implements712[[#This Row],[Use (ac/yr)]]</f>
        <v>3.8418103374212262</v>
      </c>
      <c r="AB32"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2.1398413971233592</v>
      </c>
      <c r="AC32" s="182">
        <f>IF(Implements712[[#This Row],[Use basis]]="hour","-",$BP$18/(Implements712[[#This Row],[Width]]*Implements712[[#This Row],[Speed]]*Implements712[[#This Row],[Efficiency]]))</f>
        <v>7.7030812324929976E-2</v>
      </c>
      <c r="AD32" s="163">
        <f>IF(Implements712[[#This Row],[Use basis]]=$N$128,Implements712[[#This Row],[Ownership costs ($/hr)]],SUM(Implements712[[#This Row],[Depr ($/ac)2]:[OH ($/ac)]]))</f>
        <v>6.1470305495918405</v>
      </c>
      <c r="AE32" s="240">
        <v>11</v>
      </c>
      <c r="AF32" s="144" t="s">
        <v>409</v>
      </c>
      <c r="AG32" s="163"/>
      <c r="AH32" s="202" t="str">
        <f>CONCATENATE(AI32&amp;" "&amp;AJ32)</f>
        <v>275 HP SP Sprayer</v>
      </c>
      <c r="AI32" s="203">
        <v>275</v>
      </c>
      <c r="AJ32" s="171" t="s">
        <v>676</v>
      </c>
      <c r="AK32" s="172"/>
      <c r="AL32" s="173"/>
      <c r="AM32" s="229"/>
      <c r="AN32" s="174"/>
      <c r="AO32" s="173"/>
      <c r="AP32" s="241"/>
      <c r="AQ32" s="171"/>
      <c r="AR32" s="239">
        <v>0.05</v>
      </c>
      <c r="AS32" s="171" t="s">
        <v>469</v>
      </c>
      <c r="AT32" s="171">
        <v>500</v>
      </c>
      <c r="AU32" s="242"/>
      <c r="AV32" s="230"/>
      <c r="AW32" s="233"/>
      <c r="AX32" s="233"/>
      <c r="AY32" s="244"/>
      <c r="AZ32" s="232">
        <f>Power2025914[[#This Row],[Fuel (gal/hph)]]*Power2025914[[#This Row],[HP]]</f>
        <v>13.75</v>
      </c>
      <c r="BA32" s="233">
        <f>SUM(AW32:AX32)</f>
        <v>0</v>
      </c>
      <c r="BC32" s="152" t="s">
        <v>547</v>
      </c>
      <c r="BD32" s="219">
        <v>0.18</v>
      </c>
      <c r="BE32" s="219">
        <v>1.6</v>
      </c>
      <c r="BF32" s="219">
        <v>2500</v>
      </c>
      <c r="BG32" s="219">
        <v>0.72430000000000005</v>
      </c>
      <c r="BH32" s="219">
        <v>0.11269999999999999</v>
      </c>
      <c r="BI32" s="219">
        <v>0</v>
      </c>
      <c r="BJ32" s="219">
        <v>3.3999999999999998E-3</v>
      </c>
      <c r="BK32" s="149">
        <f t="shared" si="4"/>
        <v>1.4113440000000001E-2</v>
      </c>
      <c r="BL32" s="219">
        <v>0.1188</v>
      </c>
      <c r="BM32" s="183"/>
    </row>
    <row r="33" spans="2:65">
      <c r="B33" s="144" t="str">
        <f>Implements712[[#This Row],[Implement type]]&amp;", "&amp;Implements712[[#This Row],[Width]]&amp;" "&amp;Implements712[[#This Row],[Width Unit]]&amp; ", per "&amp;Implements712[[#This Row],[Use basis]]</f>
        <v>Tandem disk, 32 Ft Folding, per acre</v>
      </c>
      <c r="C33" s="170" t="s">
        <v>412</v>
      </c>
      <c r="D33" s="171">
        <v>32</v>
      </c>
      <c r="E33" s="238" t="str">
        <f t="shared" si="6"/>
        <v>Ft Folding</v>
      </c>
      <c r="F33" s="171"/>
      <c r="G33" s="171"/>
      <c r="H33" s="227">
        <v>123500</v>
      </c>
      <c r="I33" s="228">
        <v>0.1</v>
      </c>
      <c r="J33" s="174">
        <f t="shared" si="5"/>
        <v>137222.22222222222</v>
      </c>
      <c r="K33" s="198">
        <f>VLOOKUP(Implements712[[#This Row],[ASABEtype]],ASABECoefficients813[],4,FALSE)/Implements712[[#This Row],[Use (hr/yr)]]</f>
        <v>20</v>
      </c>
      <c r="L33" s="171">
        <v>100</v>
      </c>
      <c r="M33" s="176">
        <f>IF(Implements712[[#This Row],[Use basis]]="hour",,L33*(D33*P33*Q33)/8.25)</f>
        <v>1978.181818181818</v>
      </c>
      <c r="N33" s="177" t="s">
        <v>654</v>
      </c>
      <c r="O33" s="171" t="s">
        <v>414</v>
      </c>
      <c r="P33" s="171">
        <v>6</v>
      </c>
      <c r="Q33" s="228">
        <v>0.85</v>
      </c>
      <c r="R33" s="228">
        <v>1.05</v>
      </c>
      <c r="S33" s="171">
        <v>280</v>
      </c>
      <c r="T33"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0.24787241594786602</v>
      </c>
      <c r="U33" s="179">
        <f>Implements712[[#This Row],[TradeIn%]]*Implements712[[#This Row],[PriceL]]</f>
        <v>34013.603743957166</v>
      </c>
      <c r="V33" s="180">
        <f>(Implements712[[#This Row],[PriceP]]-Implements712[[#This Row],[TradeIn$]])/Implements712[[#This Row],[Life (yr)]]/Implements712[[#This Row],[Use (hr/yr)]]</f>
        <v>44.743198128021412</v>
      </c>
      <c r="W33" s="180">
        <f>((Implements712[[#This Row],[PriceP]]+Implements712[[#This Row],[TradeIn$]])/2*($BP$7+$BP$8+$BP$9)+Implements712[[#This Row],[Shed (ft^2)]]*$BP$12)/Implements712[[#This Row],[Use (hr/yr)]]</f>
        <v>69.970849609901578</v>
      </c>
      <c r="X33" s="180">
        <f>Implements712[[#This Row],[PriceL]]*(VLOOKUP(Implements712[[#This Row],[ASABEtype]],$BC$6:$BM$52,2)*(Implements712[[#This Row],[Life (yr)]]*Implements712[[#This Row],[Use (hr/yr)]]/1000)^VLOOKUP(Implements712[[#This Row],[ASABEtype]],$BC$6:$BM$52,3))/Implements712[[#This Row],[Life (yr)]]/Implements712[[#This Row],[Use (hr/yr)]]</f>
        <v>50.698426171696319</v>
      </c>
      <c r="Y33" s="180">
        <f>Implements712[[#This Row],[Depr ($/hr)]]+Implements712[[#This Row],[OH ($/hr)]]</f>
        <v>114.71404773792298</v>
      </c>
      <c r="Z33" s="180">
        <f>(Implements712[[#This Row],[PriceP]]-Implements712[[#This Row],[TradeIn$]])/Implements712[[#This Row],[Life (yr)]]/Implements712[[#This Row],[Use (ac/yr)]]</f>
        <v>2.2618344641922592</v>
      </c>
      <c r="AA33" s="201">
        <f>((Implements712[[#This Row],[PriceP]]+Implements712[[#This Row],[TradeIn$]])/2*($BP$7+$BP$8+$BP$9)+Implements712[[#This Row],[Shed (ft^2)]]*$BP$12)/Implements712[[#This Row],[Use (ac/yr)]]</f>
        <v>3.5371293460887752</v>
      </c>
      <c r="AB33"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2.5628799994883251</v>
      </c>
      <c r="AC33" s="182">
        <f>IF(Implements712[[#This Row],[Use basis]]="hour","-",$BP$18/(Implements712[[#This Row],[Width]]*Implements712[[#This Row],[Speed]]*Implements712[[#This Row],[Efficiency]]))</f>
        <v>5.0551470588235295E-2</v>
      </c>
      <c r="AD33" s="163">
        <f>IF(Implements712[[#This Row],[Use basis]]=$N$128,Implements712[[#This Row],[Ownership costs ($/hr)]],SUM(Implements712[[#This Row],[Depr ($/ac)2]:[OH ($/ac)]]))</f>
        <v>5.7989638102810339</v>
      </c>
      <c r="AE33" s="240">
        <v>12</v>
      </c>
      <c r="AF33" s="144" t="s">
        <v>409</v>
      </c>
      <c r="AG33" s="163"/>
      <c r="AT33" s="153" t="s">
        <v>901</v>
      </c>
      <c r="BC33" s="152" t="s">
        <v>436</v>
      </c>
      <c r="BD33" s="219">
        <v>0.16</v>
      </c>
      <c r="BE33" s="219">
        <v>2</v>
      </c>
      <c r="BF33" s="219">
        <v>2500</v>
      </c>
      <c r="BG33" s="219">
        <v>0.72430000000000005</v>
      </c>
      <c r="BH33" s="219">
        <v>0.11269999999999999</v>
      </c>
      <c r="BI33" s="219">
        <v>0</v>
      </c>
      <c r="BJ33" s="219">
        <v>3.3999999999999998E-3</v>
      </c>
      <c r="BK33" s="149">
        <f t="shared" si="4"/>
        <v>1.4113440000000001E-2</v>
      </c>
      <c r="BL33" s="219">
        <v>0.1188</v>
      </c>
      <c r="BM33" s="183"/>
    </row>
    <row r="34" spans="2:65">
      <c r="B34" s="144" t="str">
        <f>Implements712[[#This Row],[Implement type]]&amp;", "&amp;Implements712[[#This Row],[Width]]&amp;" "&amp;Implements712[[#This Row],[Width Unit]]</f>
        <v>Strip-till, 30 Ft</v>
      </c>
      <c r="C34" s="170" t="s">
        <v>623</v>
      </c>
      <c r="D34" s="171">
        <v>30</v>
      </c>
      <c r="E34" s="170" t="s">
        <v>402</v>
      </c>
      <c r="F34" s="171"/>
      <c r="G34" s="170"/>
      <c r="H34" s="172">
        <v>120000</v>
      </c>
      <c r="I34" s="173">
        <v>0.1</v>
      </c>
      <c r="J34" s="174">
        <f t="shared" si="5"/>
        <v>133333.33333333334</v>
      </c>
      <c r="K34" s="198">
        <f>VLOOKUP(Implements712[[#This Row],[ASABEtype]],ASABECoefficients813[],4,FALSE)/Implements712[[#This Row],[Use (hr/yr)]]</f>
        <v>15</v>
      </c>
      <c r="L34" s="199">
        <v>100</v>
      </c>
      <c r="M34" s="176">
        <f>IF(Implements712[[#This Row],[Use basis]]="hour",,L34*(D34*P34*Q34)/8.25)</f>
        <v>2036.3636363636363</v>
      </c>
      <c r="N34" s="200" t="s">
        <v>654</v>
      </c>
      <c r="O34" s="171" t="s">
        <v>551</v>
      </c>
      <c r="P34" s="171">
        <v>7</v>
      </c>
      <c r="Q34" s="173">
        <v>0.8</v>
      </c>
      <c r="R34" s="173">
        <v>1.1000000000000001</v>
      </c>
      <c r="S34" s="171">
        <v>300</v>
      </c>
      <c r="T34"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0.34248482323909785</v>
      </c>
      <c r="U34" s="179">
        <f>Implements712[[#This Row],[TradeIn%]]*Implements712[[#This Row],[PriceL]]</f>
        <v>45664.643098546381</v>
      </c>
      <c r="V34" s="180">
        <f>(Implements712[[#This Row],[PriceP]]-Implements712[[#This Row],[TradeIn$]])/Implements712[[#This Row],[Life (yr)]]/Implements712[[#This Row],[Use (hr/yr)]]</f>
        <v>49.556904600969084</v>
      </c>
      <c r="W34" s="180">
        <f>((Implements712[[#This Row],[PriceP]]+Implements712[[#This Row],[TradeIn$]])/2*($BP$7+$BP$8+$BP$9)+Implements712[[#This Row],[Shed (ft^2)]]*$BP$12)/Implements712[[#This Row],[Use (hr/yr)]]</f>
        <v>73.63579653237494</v>
      </c>
      <c r="X34" s="180">
        <f>Implements712[[#This Row],[PriceL]]*(VLOOKUP(Implements712[[#This Row],[ASABEtype]],$BC$6:$BM$52,2)*(Implements712[[#This Row],[Life (yr)]]*Implements712[[#This Row],[Use (hr/yr)]]/1000)^VLOOKUP(Implements712[[#This Row],[ASABEtype]],$BC$6:$BM$52,3))/Implements712[[#This Row],[Life (yr)]]/Implements712[[#This Row],[Use (hr/yr)]]</f>
        <v>72</v>
      </c>
      <c r="Y34" s="180">
        <f>Implements712[[#This Row],[Depr ($/hr)]]+Implements712[[#This Row],[OH ($/hr)]]</f>
        <v>123.19270113334403</v>
      </c>
      <c r="Z34" s="180">
        <f>(Implements712[[#This Row],[PriceP]]-Implements712[[#This Row],[TradeIn$]])/Implements712[[#This Row],[Life (yr)]]/Implements712[[#This Row],[Use (ac/yr)]]</f>
        <v>2.4335979937975889</v>
      </c>
      <c r="AA34" s="201">
        <f>((Implements712[[#This Row],[PriceP]]+Implements712[[#This Row],[TradeIn$]])/2*($BP$7+$BP$8+$BP$9)+Implements712[[#This Row],[Shed (ft^2)]]*$BP$12)/Implements712[[#This Row],[Use (ac/yr)]]</f>
        <v>3.6160435797148405</v>
      </c>
      <c r="AB34"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3.535714285714286</v>
      </c>
      <c r="AC34" s="182">
        <f>IF(Implements712[[#This Row],[Use basis]]="hour","-",$BP$18/(Implements712[[#This Row],[Width]]*Implements712[[#This Row],[Speed]]*Implements712[[#This Row],[Efficiency]]))</f>
        <v>4.9107142857142856E-2</v>
      </c>
      <c r="AD34" s="163">
        <f>IF(Implements712[[#This Row],[Use basis]]=$N$128,Implements712[[#This Row],[Ownership costs ($/hr)]],SUM(Implements712[[#This Row],[Depr ($/ac)2]:[OH ($/ac)]]))</f>
        <v>6.0496415735124298</v>
      </c>
      <c r="AE34" s="163"/>
      <c r="AF34" s="163" t="s">
        <v>409</v>
      </c>
      <c r="AG34" s="163"/>
      <c r="AT34" s="153" t="s">
        <v>493</v>
      </c>
      <c r="BC34" s="152" t="s">
        <v>408</v>
      </c>
      <c r="BD34" s="219">
        <v>0.16</v>
      </c>
      <c r="BE34" s="219">
        <v>1.3</v>
      </c>
      <c r="BF34" s="219">
        <v>2000</v>
      </c>
      <c r="BG34" s="219">
        <v>0.71940000000000004</v>
      </c>
      <c r="BH34" s="219">
        <v>0.11020000000000001</v>
      </c>
      <c r="BI34" s="219">
        <v>0</v>
      </c>
      <c r="BJ34" s="219">
        <v>3.0000000000000001E-3</v>
      </c>
      <c r="BK34" s="149">
        <f t="shared" si="4"/>
        <v>1.4713690000000001E-2</v>
      </c>
      <c r="BL34" s="219">
        <v>0.12130000000000001</v>
      </c>
      <c r="BM34" s="183"/>
    </row>
    <row r="35" spans="2:65">
      <c r="B35" s="144" t="str">
        <f>Implements712[[#This Row],[Implement type]]&amp;", "&amp;Implements712[[#This Row],[Width]]&amp;" "&amp;Implements712[[#This Row],[Width Unit]]</f>
        <v>Strip-till, 40 Ft Folding</v>
      </c>
      <c r="C35" s="170" t="s">
        <v>623</v>
      </c>
      <c r="D35" s="171">
        <v>40</v>
      </c>
      <c r="E35" s="170" t="s">
        <v>421</v>
      </c>
      <c r="F35" s="171"/>
      <c r="G35" s="170"/>
      <c r="H35" s="172">
        <v>165000</v>
      </c>
      <c r="I35" s="173">
        <v>0.1</v>
      </c>
      <c r="J35" s="174">
        <f t="shared" si="5"/>
        <v>183333.33333333334</v>
      </c>
      <c r="K35" s="198">
        <f>VLOOKUP(Implements712[[#This Row],[ASABEtype]],ASABECoefficients813[],4,FALSE)/Implements712[[#This Row],[Use (hr/yr)]]</f>
        <v>15</v>
      </c>
      <c r="L35" s="199">
        <v>100</v>
      </c>
      <c r="M35" s="176">
        <f>IF(Implements712[[#This Row],[Use basis]]="hour",,L35*(D35*P35*Q35)/8.25)</f>
        <v>2715.151515151515</v>
      </c>
      <c r="N35" s="200" t="s">
        <v>654</v>
      </c>
      <c r="O35" s="171" t="s">
        <v>551</v>
      </c>
      <c r="P35" s="171">
        <v>7</v>
      </c>
      <c r="Q35" s="173">
        <v>0.8</v>
      </c>
      <c r="R35" s="173">
        <v>1.1000000000000001</v>
      </c>
      <c r="S35" s="171">
        <v>500</v>
      </c>
      <c r="T35"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0.34248482323909785</v>
      </c>
      <c r="U35" s="179">
        <f>Implements712[[#This Row],[TradeIn%]]*Implements712[[#This Row],[PriceL]]</f>
        <v>62788.884260501276</v>
      </c>
      <c r="V35" s="180">
        <f>(Implements712[[#This Row],[PriceP]]-Implements712[[#This Row],[TradeIn$]])/Implements712[[#This Row],[Life (yr)]]/Implements712[[#This Row],[Use (hr/yr)]]</f>
        <v>68.140743826332482</v>
      </c>
      <c r="W35" s="180">
        <f>((Implements712[[#This Row],[PriceP]]+Implements712[[#This Row],[TradeIn$]])/2*($BP$7+$BP$8+$BP$9)+Implements712[[#This Row],[Shed (ft^2)]]*$BP$12)/Implements712[[#This Row],[Use (hr/yr)]]</f>
        <v>101.94922023201553</v>
      </c>
      <c r="X35" s="180">
        <f>Implements712[[#This Row],[PriceL]]*(VLOOKUP(Implements712[[#This Row],[ASABEtype]],$BC$6:$BM$52,2)*(Implements712[[#This Row],[Life (yr)]]*Implements712[[#This Row],[Use (hr/yr)]]/1000)^VLOOKUP(Implements712[[#This Row],[ASABEtype]],$BC$6:$BM$52,3))/Implements712[[#This Row],[Life (yr)]]/Implements712[[#This Row],[Use (hr/yr)]]</f>
        <v>99</v>
      </c>
      <c r="Y35" s="180">
        <f>Implements712[[#This Row],[Depr ($/hr)]]+Implements712[[#This Row],[OH ($/hr)]]</f>
        <v>170.08996405834802</v>
      </c>
      <c r="Z35" s="180">
        <f>(Implements712[[#This Row],[PriceP]]-Implements712[[#This Row],[TradeIn$]])/Implements712[[#This Row],[Life (yr)]]/Implements712[[#This Row],[Use (ac/yr)]]</f>
        <v>2.5096479311037636</v>
      </c>
      <c r="AA35" s="201">
        <f>((Implements712[[#This Row],[PriceP]]+Implements712[[#This Row],[TradeIn$]])/2*($BP$7+$BP$8+$BP$9)+Implements712[[#This Row],[Shed (ft^2)]]*$BP$12)/Implements712[[#This Row],[Use (ac/yr)]]</f>
        <v>3.7548261915809298</v>
      </c>
      <c r="AB35"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3.6462053571428572</v>
      </c>
      <c r="AC35" s="182">
        <f>IF(Implements712[[#This Row],[Use basis]]="hour","-",$BP$18/(Implements712[[#This Row],[Width]]*Implements712[[#This Row],[Speed]]*Implements712[[#This Row],[Efficiency]]))</f>
        <v>3.6830357142857144E-2</v>
      </c>
      <c r="AD35" s="163">
        <f>IF(Implements712[[#This Row],[Use basis]]=$N$128,Implements712[[#This Row],[Ownership costs ($/hr)]],SUM(Implements712[[#This Row],[Depr ($/ac)2]:[OH ($/ac)]]))</f>
        <v>6.2644741226846934</v>
      </c>
      <c r="AE35" s="163"/>
      <c r="AF35" s="163" t="s">
        <v>409</v>
      </c>
      <c r="AG35" s="163"/>
      <c r="BC35" s="149" t="s">
        <v>360</v>
      </c>
      <c r="BD35" s="219"/>
      <c r="BE35" s="219"/>
      <c r="BF35" s="219"/>
      <c r="BG35" s="219"/>
      <c r="BH35" s="219"/>
      <c r="BI35" s="171"/>
      <c r="BJ35" s="219"/>
      <c r="BK35" s="149">
        <f t="shared" si="4"/>
        <v>0</v>
      </c>
      <c r="BL35" s="219"/>
      <c r="BM35" s="183"/>
    </row>
    <row r="36" spans="2:65">
      <c r="B36" s="144" t="str">
        <f>Implements712[[#This Row],[Implement type]]&amp;", "&amp;Implements712[[#This Row],[Width]]&amp;" "&amp;Implements712[[#This Row],[Width Unit]]</f>
        <v>Strip-till, 60 Ft Folding</v>
      </c>
      <c r="C36" s="170" t="s">
        <v>623</v>
      </c>
      <c r="D36" s="171">
        <v>60</v>
      </c>
      <c r="E36" s="170" t="s">
        <v>421</v>
      </c>
      <c r="F36" s="171"/>
      <c r="G36" s="170"/>
      <c r="H36" s="172">
        <v>225000</v>
      </c>
      <c r="I36" s="173">
        <v>0.1</v>
      </c>
      <c r="J36" s="174">
        <f t="shared" si="5"/>
        <v>250000</v>
      </c>
      <c r="K36" s="198">
        <f>VLOOKUP(Implements712[[#This Row],[ASABEtype]],ASABECoefficients813[],4,FALSE)/Implements712[[#This Row],[Use (hr/yr)]]</f>
        <v>15</v>
      </c>
      <c r="L36" s="199">
        <v>100</v>
      </c>
      <c r="M36" s="176">
        <f>IF(Implements712[[#This Row],[Use basis]]="hour",,L36*(D36*P36*Q36)/8.25)</f>
        <v>4072.7272727272725</v>
      </c>
      <c r="N36" s="200" t="s">
        <v>654</v>
      </c>
      <c r="O36" s="171" t="s">
        <v>551</v>
      </c>
      <c r="P36" s="171">
        <v>7</v>
      </c>
      <c r="Q36" s="173">
        <v>0.8</v>
      </c>
      <c r="R36" s="173">
        <v>1.1000000000000001</v>
      </c>
      <c r="S36" s="171">
        <v>720</v>
      </c>
      <c r="T36"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0.34248482323909785</v>
      </c>
      <c r="U36" s="179">
        <f>Implements712[[#This Row],[TradeIn%]]*Implements712[[#This Row],[PriceL]]</f>
        <v>85621.205809774459</v>
      </c>
      <c r="V36" s="180">
        <f>(Implements712[[#This Row],[PriceP]]-Implements712[[#This Row],[TradeIn$]])/Implements712[[#This Row],[Life (yr)]]/Implements712[[#This Row],[Use (hr/yr)]]</f>
        <v>92.919196126817027</v>
      </c>
      <c r="W36" s="180">
        <f>((Implements712[[#This Row],[PriceP]]+Implements712[[#This Row],[TradeIn$]])/2*($BP$7+$BP$8+$BP$9)+Implements712[[#This Row],[Shed (ft^2)]]*$BP$12)/Implements712[[#This Row],[Use (hr/yr)]]</f>
        <v>139.32711849820299</v>
      </c>
      <c r="X36" s="180">
        <f>Implements712[[#This Row],[PriceL]]*(VLOOKUP(Implements712[[#This Row],[ASABEtype]],$BC$6:$BM$52,2)*(Implements712[[#This Row],[Life (yr)]]*Implements712[[#This Row],[Use (hr/yr)]]/1000)^VLOOKUP(Implements712[[#This Row],[ASABEtype]],$BC$6:$BM$52,3))/Implements712[[#This Row],[Life (yr)]]/Implements712[[#This Row],[Use (hr/yr)]]</f>
        <v>135</v>
      </c>
      <c r="Y36" s="180">
        <f>Implements712[[#This Row],[Depr ($/hr)]]+Implements712[[#This Row],[OH ($/hr)]]</f>
        <v>232.24631462502003</v>
      </c>
      <c r="Z36" s="180">
        <f>(Implements712[[#This Row],[PriceP]]-Implements712[[#This Row],[TradeIn$]])/Implements712[[#This Row],[Life (yr)]]/Implements712[[#This Row],[Use (ac/yr)]]</f>
        <v>2.2814981191852395</v>
      </c>
      <c r="AA36" s="201">
        <f>((Implements712[[#This Row],[PriceP]]+Implements712[[#This Row],[TradeIn$]])/2*($BP$7+$BP$8+$BP$9)+Implements712[[#This Row],[Shed (ft^2)]]*$BP$12)/Implements712[[#This Row],[Use (ac/yr)]]</f>
        <v>3.4209783559826632</v>
      </c>
      <c r="AB36"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3.3147321428571432</v>
      </c>
      <c r="AC36" s="182">
        <f>IF(Implements712[[#This Row],[Use basis]]="hour","-",$BP$18/(Implements712[[#This Row],[Width]]*Implements712[[#This Row],[Speed]]*Implements712[[#This Row],[Efficiency]]))</f>
        <v>2.4553571428571428E-2</v>
      </c>
      <c r="AD36" s="163">
        <f>IF(Implements712[[#This Row],[Use basis]]=$N$128,Implements712[[#This Row],[Ownership costs ($/hr)]],SUM(Implements712[[#This Row],[Depr ($/ac)2]:[OH ($/ac)]]))</f>
        <v>5.7024764751679022</v>
      </c>
      <c r="AE36" s="163"/>
      <c r="AF36" s="163" t="s">
        <v>409</v>
      </c>
      <c r="AG36" s="163"/>
      <c r="BC36" s="149" t="s">
        <v>655</v>
      </c>
      <c r="BD36" s="219">
        <v>0.35</v>
      </c>
      <c r="BE36" s="219">
        <v>1.2</v>
      </c>
      <c r="BF36" s="219">
        <v>2000</v>
      </c>
      <c r="BG36" s="219">
        <v>0.86409999999999998</v>
      </c>
      <c r="BH36" s="219">
        <v>0.11020000000000001</v>
      </c>
      <c r="BI36" s="219">
        <v>0</v>
      </c>
      <c r="BJ36" s="219">
        <v>-5.0000000000000001E-3</v>
      </c>
      <c r="BK36" s="144">
        <v>8.1199999999999994E-2</v>
      </c>
      <c r="BL36" s="219"/>
      <c r="BM36" s="183"/>
    </row>
    <row r="37" spans="2:65">
      <c r="B37" s="144" t="str">
        <f>Implements712[[#This Row],[Implement type]]&amp;", "&amp;Implements712[[#This Row],[Width]]&amp;" "&amp;Implements712[[#This Row],[Width Unit]]&amp; ", per "&amp;Implements712[[#This Row],[Use basis]]</f>
        <v>Forage harvester, pull-type w/corn head, 7.5 Ft, per acre</v>
      </c>
      <c r="C37" s="238" t="s">
        <v>415</v>
      </c>
      <c r="D37" s="171">
        <v>7.5</v>
      </c>
      <c r="E37" s="238" t="s">
        <v>402</v>
      </c>
      <c r="F37" s="171">
        <v>3</v>
      </c>
      <c r="G37" s="238" t="s">
        <v>416</v>
      </c>
      <c r="H37" s="227">
        <v>82500</v>
      </c>
      <c r="I37" s="228">
        <v>0.2</v>
      </c>
      <c r="J37" s="174">
        <f t="shared" si="5"/>
        <v>103125</v>
      </c>
      <c r="K37" s="198">
        <f>VLOOKUP(Implements712[[#This Row],[ASABEtype]],ASABECoefficients813[],4,FALSE)/Implements712[[#This Row],[Use (hr/yr)]]</f>
        <v>12.5</v>
      </c>
      <c r="L37" s="171">
        <v>200</v>
      </c>
      <c r="M37" s="176">
        <f>IF(Implements712[[#This Row],[Use basis]]="hour",,L37*(D37*P37*Q37)/8.25)</f>
        <v>413.63636363636363</v>
      </c>
      <c r="N37" s="177" t="s">
        <v>654</v>
      </c>
      <c r="O37" s="171" t="s">
        <v>538</v>
      </c>
      <c r="P37" s="171">
        <v>3.5</v>
      </c>
      <c r="Q37" s="228">
        <v>0.65</v>
      </c>
      <c r="R37" s="228">
        <v>1.1499999999999999</v>
      </c>
      <c r="S37" s="171">
        <v>140</v>
      </c>
      <c r="T37"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0.76299776946482956</v>
      </c>
      <c r="U37" s="179">
        <f>Implements712[[#This Row],[TradeIn%]]*Implements712[[#This Row],[PriceL]]</f>
        <v>78684.144976060546</v>
      </c>
      <c r="V37" s="180">
        <f>(Implements712[[#This Row],[PriceP]]-Implements712[[#This Row],[TradeIn$]])/Implements712[[#This Row],[Life (yr)]]/Implements712[[#This Row],[Use (hr/yr)]]</f>
        <v>1.5263420095757814</v>
      </c>
      <c r="W37" s="180">
        <f>((Implements712[[#This Row],[PriceP]]+Implements712[[#This Row],[TradeIn$]])/2*($BP$7+$BP$8+$BP$9)+Implements712[[#This Row],[Shed (ft^2)]]*$BP$12)/Implements712[[#This Row],[Use (hr/yr)]]</f>
        <v>35.214591169853016</v>
      </c>
      <c r="X37" s="180">
        <f>Implements712[[#This Row],[PriceL]]*(VLOOKUP(Implements712[[#This Row],[ASABEtype]],$BC$6:$BM$52,2)*(Implements712[[#This Row],[Life (yr)]]*Implements712[[#This Row],[Use (hr/yr)]]/1000)^VLOOKUP(Implements712[[#This Row],[ASABEtype]],$BC$6:$BM$52,3))/Implements712[[#This Row],[Life (yr)]]/Implements712[[#This Row],[Use (hr/yr)]]</f>
        <v>26.805210731390435</v>
      </c>
      <c r="Y37" s="180">
        <f>Implements712[[#This Row],[Depr ($/hr)]]+Implements712[[#This Row],[OH ($/hr)]]</f>
        <v>36.740933179428794</v>
      </c>
      <c r="Z37" s="180">
        <f>(Implements712[[#This Row],[PriceP]]-Implements712[[#This Row],[TradeIn$]])/Implements712[[#This Row],[Life (yr)]]/Implements712[[#This Row],[Use (ac/yr)]]</f>
        <v>0.73801152111356472</v>
      </c>
      <c r="AA37" s="201">
        <f>((Implements712[[#This Row],[PriceP]]+Implements712[[#This Row],[TradeIn$]])/2*($BP$7+$BP$8+$BP$9)+Implements712[[#This Row],[Shed (ft^2)]]*$BP$12)/Implements712[[#This Row],[Use (ac/yr)]]</f>
        <v>17.026835290917941</v>
      </c>
      <c r="AB37"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12.960761232760211</v>
      </c>
      <c r="AC37" s="182">
        <f>IF(Implements712[[#This Row],[Use basis]]="hour","-",$BP$18/(Implements712[[#This Row],[Width]]*Implements712[[#This Row],[Speed]]*Implements712[[#This Row],[Efficiency]]))</f>
        <v>0.48351648351648352</v>
      </c>
      <c r="AD37" s="163">
        <f>IF(Implements712[[#This Row],[Use basis]]=$N$128,Implements712[[#This Row],[Ownership costs ($/hr)]],SUM(Implements712[[#This Row],[Depr ($/ac)2]:[OH ($/ac)]]))</f>
        <v>17.764846812031504</v>
      </c>
      <c r="AE37" s="240">
        <v>37</v>
      </c>
      <c r="AF37" s="144" t="s">
        <v>417</v>
      </c>
      <c r="AG37" s="163"/>
      <c r="AH37" s="163" t="s">
        <v>675</v>
      </c>
      <c r="BC37" s="152" t="s">
        <v>548</v>
      </c>
      <c r="BD37" s="219">
        <v>0.19</v>
      </c>
      <c r="BE37" s="219">
        <v>1.4</v>
      </c>
      <c r="BF37" s="219">
        <v>2500</v>
      </c>
      <c r="BG37" s="219">
        <v>0.80910000000000004</v>
      </c>
      <c r="BH37" s="219">
        <v>0.1109</v>
      </c>
      <c r="BI37" s="219">
        <v>0</v>
      </c>
      <c r="BJ37" s="219">
        <v>1.4E-3</v>
      </c>
      <c r="BK37" s="149">
        <f t="shared" si="4"/>
        <v>1.605289E-2</v>
      </c>
      <c r="BL37" s="219">
        <v>0.12670000000000001</v>
      </c>
      <c r="BM37" s="183"/>
    </row>
    <row r="38" spans="2:65">
      <c r="B38" s="144" t="str">
        <f>Implements712[[#This Row],[Implement type]]&amp;", "&amp;Implements712[[#This Row],[Width]]&amp;" "&amp;Implements712[[#This Row],[Width Unit]]&amp; ", per "&amp;Implements712[[#This Row],[Use basis]]</f>
        <v>Forage harvester, pull-type w/pickup head, 12 Ft, per acre</v>
      </c>
      <c r="C38" s="238" t="s">
        <v>418</v>
      </c>
      <c r="D38" s="171">
        <v>12</v>
      </c>
      <c r="E38" s="238" t="s">
        <v>402</v>
      </c>
      <c r="F38" s="171"/>
      <c r="G38" s="238"/>
      <c r="H38" s="227">
        <v>89000</v>
      </c>
      <c r="I38" s="228">
        <v>0.2</v>
      </c>
      <c r="J38" s="174">
        <f t="shared" si="5"/>
        <v>111250</v>
      </c>
      <c r="K38" s="198">
        <f>VLOOKUP(Implements712[[#This Row],[ASABEtype]],ASABECoefficients813[],4,FALSE)/Implements712[[#This Row],[Use (hr/yr)]]</f>
        <v>12.5</v>
      </c>
      <c r="L38" s="171">
        <v>200</v>
      </c>
      <c r="M38" s="176">
        <f>IF(Implements712[[#This Row],[Use basis]]="hour",,L38*(D38*P38*Q38)/8.25)</f>
        <v>661.81818181818187</v>
      </c>
      <c r="N38" s="177" t="s">
        <v>654</v>
      </c>
      <c r="O38" s="171" t="s">
        <v>538</v>
      </c>
      <c r="P38" s="171">
        <v>3.5</v>
      </c>
      <c r="Q38" s="228">
        <v>0.65</v>
      </c>
      <c r="R38" s="228">
        <v>1.1499999999999999</v>
      </c>
      <c r="S38" s="171">
        <v>140</v>
      </c>
      <c r="T38"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0.76299776946482956</v>
      </c>
      <c r="U38" s="179">
        <f>Implements712[[#This Row],[TradeIn%]]*Implements712[[#This Row],[PriceL]]</f>
        <v>84883.50185296229</v>
      </c>
      <c r="V38" s="180">
        <f>(Implements712[[#This Row],[PriceP]]-Implements712[[#This Row],[TradeIn$]])/Implements712[[#This Row],[Life (yr)]]/Implements712[[#This Row],[Use (hr/yr)]]</f>
        <v>1.646599258815084</v>
      </c>
      <c r="W38" s="180">
        <f>((Implements712[[#This Row],[PriceP]]+Implements712[[#This Row],[TradeIn$]])/2*($BP$7+$BP$8+$BP$9)+Implements712[[#This Row],[Shed (ft^2)]]*$BP$12)/Implements712[[#This Row],[Use (hr/yr)]]</f>
        <v>37.944952898386894</v>
      </c>
      <c r="X38" s="180">
        <f>Implements712[[#This Row],[PriceL]]*(VLOOKUP(Implements712[[#This Row],[ASABEtype]],$BC$6:$BM$52,2)*(Implements712[[#This Row],[Life (yr)]]*Implements712[[#This Row],[Use (hr/yr)]]/1000)^VLOOKUP(Implements712[[#This Row],[ASABEtype]],$BC$6:$BM$52,3))/Implements712[[#This Row],[Life (yr)]]/Implements712[[#This Row],[Use (hr/yr)]]</f>
        <v>28.917136425378768</v>
      </c>
      <c r="Y38" s="180">
        <f>Implements712[[#This Row],[Depr ($/hr)]]+Implements712[[#This Row],[OH ($/hr)]]</f>
        <v>39.591552157201981</v>
      </c>
      <c r="Z38" s="180">
        <f>(Implements712[[#This Row],[PriceP]]-Implements712[[#This Row],[TradeIn$]])/Implements712[[#This Row],[Life (yr)]]/Implements712[[#This Row],[Use (ac/yr)]]</f>
        <v>0.49759867711444844</v>
      </c>
      <c r="AA38" s="201">
        <f>((Implements712[[#This Row],[PriceP]]+Implements712[[#This Row],[TradeIn$]])/2*($BP$7+$BP$8+$BP$9)+Implements712[[#This Row],[Shed (ft^2)]]*$BP$12)/Implements712[[#This Row],[Use (ac/yr)]]</f>
        <v>11.466881370391642</v>
      </c>
      <c r="AB38"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8.7386950736034734</v>
      </c>
      <c r="AC38" s="182">
        <f>IF(Implements712[[#This Row],[Use basis]]="hour","-",$BP$18/(Implements712[[#This Row],[Width]]*Implements712[[#This Row],[Speed]]*Implements712[[#This Row],[Efficiency]]))</f>
        <v>0.30219780219780218</v>
      </c>
      <c r="AD38" s="163">
        <f>IF(Implements712[[#This Row],[Use basis]]=$N$128,Implements712[[#This Row],[Ownership costs ($/hr)]],SUM(Implements712[[#This Row],[Depr ($/ac)2]:[OH ($/ac)]]))</f>
        <v>11.96448004750609</v>
      </c>
      <c r="AE38" s="240">
        <v>38</v>
      </c>
      <c r="AF38" s="144" t="s">
        <v>417</v>
      </c>
      <c r="AG38" s="163"/>
      <c r="BC38" s="152" t="s">
        <v>454</v>
      </c>
      <c r="BD38" s="219">
        <v>0.23</v>
      </c>
      <c r="BE38" s="219">
        <v>1.8</v>
      </c>
      <c r="BF38" s="219">
        <v>2000</v>
      </c>
      <c r="BG38" s="219">
        <v>0.80910000000000004</v>
      </c>
      <c r="BH38" s="219">
        <v>0.1109</v>
      </c>
      <c r="BI38" s="219">
        <v>0</v>
      </c>
      <c r="BJ38" s="219">
        <v>1.4E-3</v>
      </c>
      <c r="BK38" s="149">
        <f t="shared" si="4"/>
        <v>1.605289E-2</v>
      </c>
      <c r="BL38" s="219">
        <v>0.12670000000000001</v>
      </c>
      <c r="BM38" s="183"/>
    </row>
    <row r="39" spans="2:65">
      <c r="B39" s="144" t="str">
        <f>Implements712[[#This Row],[Implement type]]&amp;", "&amp;Implements712[[#This Row],[Width]]&amp;" "&amp;Implements712[[#This Row],[Width Unit]]&amp; ", per "&amp;Implements712[[#This Row],[Use basis]]</f>
        <v>Forage harvester, self-prop corn head, 20 Ft, per acre</v>
      </c>
      <c r="C39" s="170" t="s">
        <v>419</v>
      </c>
      <c r="D39" s="171">
        <v>20</v>
      </c>
      <c r="E39" s="238" t="s">
        <v>402</v>
      </c>
      <c r="F39" s="171">
        <v>8</v>
      </c>
      <c r="G39" s="238" t="s">
        <v>416</v>
      </c>
      <c r="H39" s="227">
        <v>121000</v>
      </c>
      <c r="I39" s="228">
        <v>0.2</v>
      </c>
      <c r="J39" s="174">
        <f t="shared" si="5"/>
        <v>151250</v>
      </c>
      <c r="K39" s="198">
        <f>VLOOKUP(Implements712[[#This Row],[ASABEtype]],ASABECoefficients813[],4,FALSE)/Implements712[[#This Row],[Use (hr/yr)]]</f>
        <v>20</v>
      </c>
      <c r="L39" s="171">
        <v>200</v>
      </c>
      <c r="M39" s="176">
        <f>IF(Implements712[[#This Row],[Use basis]]="hour",,L39*(D39*P39*Q39)/8.25)</f>
        <v>1357.5757575757575</v>
      </c>
      <c r="N39" s="177" t="s">
        <v>654</v>
      </c>
      <c r="O39" s="171" t="s">
        <v>420</v>
      </c>
      <c r="P39" s="171">
        <v>4</v>
      </c>
      <c r="Q39" s="228">
        <v>0.7</v>
      </c>
      <c r="R39" s="228">
        <v>1.1499999999999999</v>
      </c>
      <c r="S39" s="171">
        <v>300</v>
      </c>
      <c r="T39"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0.31306845847971265</v>
      </c>
      <c r="U39" s="179">
        <f>Implements712[[#This Row],[TradeIn%]]*Implements712[[#This Row],[PriceL]]</f>
        <v>47351.604345056541</v>
      </c>
      <c r="V39" s="180">
        <f>(Implements712[[#This Row],[PriceP]]-Implements712[[#This Row],[TradeIn$]])/Implements712[[#This Row],[Life (yr)]]/Implements712[[#This Row],[Use (hr/yr)]]</f>
        <v>18.412098913735864</v>
      </c>
      <c r="W39" s="180">
        <f>((Implements712[[#This Row],[PriceP]]+Implements712[[#This Row],[TradeIn$]])/2*($BP$7+$BP$8+$BP$9)+Implements712[[#This Row],[Shed (ft^2)]]*$BP$12)/Implements712[[#This Row],[Use (hr/yr)]]</f>
        <v>37.395594934187159</v>
      </c>
      <c r="X39" s="180">
        <f>Implements712[[#This Row],[PriceL]]*(VLOOKUP(Implements712[[#This Row],[ASABEtype]],$BC$6:$BM$52,2)*(Implements712[[#This Row],[Life (yr)]]*Implements712[[#This Row],[Use (hr/yr)]]/1000)^VLOOKUP(Implements712[[#This Row],[ASABEtype]],$BC$6:$BM$52,3))/Implements712[[#This Row],[Life (yr)]]/Implements712[[#This Row],[Use (hr/yr)]]</f>
        <v>18.149999999999999</v>
      </c>
      <c r="Y39" s="180">
        <f>Implements712[[#This Row],[Depr ($/hr)]]+Implements712[[#This Row],[OH ($/hr)]]</f>
        <v>55.807693847923019</v>
      </c>
      <c r="Z39" s="180">
        <f>(Implements712[[#This Row],[PriceP]]-Implements712[[#This Row],[TradeIn$]])/Implements712[[#This Row],[Life (yr)]]/Implements712[[#This Row],[Use (ac/yr)]]</f>
        <v>2.7124967149700154</v>
      </c>
      <c r="AA39" s="201">
        <f>((Implements712[[#This Row],[PriceP]]+Implements712[[#This Row],[TradeIn$]])/2*($BP$7+$BP$8+$BP$9)+Implements712[[#This Row],[Shed (ft^2)]]*$BP$12)/Implements712[[#This Row],[Use (ac/yr)]]</f>
        <v>5.5091724679829293</v>
      </c>
      <c r="AB39"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2.6738839285714286</v>
      </c>
      <c r="AC39" s="182">
        <f>IF(Implements712[[#This Row],[Use basis]]="hour","-",$BP$18/(Implements712[[#This Row],[Width]]*Implements712[[#This Row],[Speed]]*Implements712[[#This Row],[Efficiency]]))</f>
        <v>0.14732142857142858</v>
      </c>
      <c r="AD39" s="163">
        <f>IF(Implements712[[#This Row],[Use basis]]=$N$128,Implements712[[#This Row],[Ownership costs ($/hr)]],SUM(Implements712[[#This Row],[Depr ($/ac)2]:[OH ($/ac)]]))</f>
        <v>8.2216691829529438</v>
      </c>
      <c r="AE39" s="240">
        <v>39</v>
      </c>
      <c r="AF39" s="144" t="s">
        <v>417</v>
      </c>
      <c r="AG39" s="163"/>
      <c r="BC39" s="152" t="s">
        <v>549</v>
      </c>
      <c r="BD39" s="219">
        <v>0.16</v>
      </c>
      <c r="BE39" s="219">
        <v>1.3</v>
      </c>
      <c r="BF39" s="219">
        <v>2000</v>
      </c>
      <c r="BG39" s="219">
        <v>0.71940000000000004</v>
      </c>
      <c r="BH39" s="219">
        <v>0.11020000000000001</v>
      </c>
      <c r="BI39" s="219">
        <v>0</v>
      </c>
      <c r="BJ39" s="219">
        <v>3.0000000000000001E-3</v>
      </c>
      <c r="BK39" s="149">
        <f t="shared" si="4"/>
        <v>1.4713690000000001E-2</v>
      </c>
      <c r="BL39" s="219">
        <v>0.12130000000000001</v>
      </c>
      <c r="BM39" s="183"/>
    </row>
    <row r="40" spans="2:65">
      <c r="B40" s="144" t="str">
        <f>Implements712[[#This Row],[Implement type]]&amp;", "&amp;Implements712[[#This Row],[Width]]&amp;" "&amp;Implements712[[#This Row],[Width Unit]]&amp; ", per "&amp;Implements712[[#This Row],[Use basis]]</f>
        <v>Forage harvester, self-prop corn head, 30 Ft Folding, per acre</v>
      </c>
      <c r="C40" s="170" t="s">
        <v>419</v>
      </c>
      <c r="D40" s="171">
        <v>30</v>
      </c>
      <c r="E40" s="238" t="s">
        <v>421</v>
      </c>
      <c r="F40" s="171">
        <v>12</v>
      </c>
      <c r="G40" s="238" t="s">
        <v>416</v>
      </c>
      <c r="H40" s="227">
        <v>170000</v>
      </c>
      <c r="I40" s="228">
        <v>0.2</v>
      </c>
      <c r="J40" s="174">
        <f t="shared" si="5"/>
        <v>212500</v>
      </c>
      <c r="K40" s="198">
        <f>VLOOKUP(Implements712[[#This Row],[ASABEtype]],ASABECoefficients813[],4,FALSE)/Implements712[[#This Row],[Use (hr/yr)]]</f>
        <v>20</v>
      </c>
      <c r="L40" s="171">
        <v>200</v>
      </c>
      <c r="M40" s="176">
        <f>IF(Implements712[[#This Row],[Use basis]]="hour",,L40*(D40*P40*Q40)/8.25)</f>
        <v>2036.3636363636363</v>
      </c>
      <c r="N40" s="177" t="s">
        <v>654</v>
      </c>
      <c r="O40" s="171" t="s">
        <v>420</v>
      </c>
      <c r="P40" s="171">
        <v>4</v>
      </c>
      <c r="Q40" s="228">
        <v>0.7</v>
      </c>
      <c r="R40" s="228">
        <v>1.1499999999999999</v>
      </c>
      <c r="S40" s="171">
        <v>300</v>
      </c>
      <c r="T40"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0.31306845847971265</v>
      </c>
      <c r="U40" s="179">
        <f>Implements712[[#This Row],[TradeIn%]]*Implements712[[#This Row],[PriceL]]</f>
        <v>66527.047426938938</v>
      </c>
      <c r="V40" s="180">
        <f>(Implements712[[#This Row],[PriceP]]-Implements712[[#This Row],[TradeIn$]])/Implements712[[#This Row],[Life (yr)]]/Implements712[[#This Row],[Use (hr/yr)]]</f>
        <v>25.868238143265266</v>
      </c>
      <c r="W40" s="180">
        <f>((Implements712[[#This Row],[PriceP]]+Implements712[[#This Row],[TradeIn$]])/2*($BP$7+$BP$8+$BP$9)+Implements712[[#This Row],[Shed (ft^2)]]*$BP$12)/Implements712[[#This Row],[Use (hr/yr)]]</f>
        <v>52.053315196791871</v>
      </c>
      <c r="X40" s="180">
        <f>Implements712[[#This Row],[PriceL]]*(VLOOKUP(Implements712[[#This Row],[ASABEtype]],$BC$6:$BM$52,2)*(Implements712[[#This Row],[Life (yr)]]*Implements712[[#This Row],[Use (hr/yr)]]/1000)^VLOOKUP(Implements712[[#This Row],[ASABEtype]],$BC$6:$BM$52,3))/Implements712[[#This Row],[Life (yr)]]/Implements712[[#This Row],[Use (hr/yr)]]</f>
        <v>25.5</v>
      </c>
      <c r="Y40" s="180">
        <f>Implements712[[#This Row],[Depr ($/hr)]]+Implements712[[#This Row],[OH ($/hr)]]</f>
        <v>77.92155334005713</v>
      </c>
      <c r="Z40" s="180">
        <f>(Implements712[[#This Row],[PriceP]]-Implements712[[#This Row],[TradeIn$]])/Implements712[[#This Row],[Life (yr)]]/Implements712[[#This Row],[Use (ac/yr)]]</f>
        <v>2.5406305319278388</v>
      </c>
      <c r="AA40" s="201">
        <f>((Implements712[[#This Row],[PriceP]]+Implements712[[#This Row],[TradeIn$]])/2*($BP$7+$BP$8+$BP$9)+Implements712[[#This Row],[Shed (ft^2)]]*$BP$12)/Implements712[[#This Row],[Use (ac/yr)]]</f>
        <v>5.1123791711134876</v>
      </c>
      <c r="AB40"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2.504464285714286</v>
      </c>
      <c r="AC40" s="182">
        <f>IF(Implements712[[#This Row],[Use basis]]="hour","-",$BP$18/(Implements712[[#This Row],[Width]]*Implements712[[#This Row],[Speed]]*Implements712[[#This Row],[Efficiency]]))</f>
        <v>9.8214285714285712E-2</v>
      </c>
      <c r="AD40" s="163">
        <f>IF(Implements712[[#This Row],[Use basis]]=$N$128,Implements712[[#This Row],[Ownership costs ($/hr)]],SUM(Implements712[[#This Row],[Depr ($/ac)2]:[OH ($/ac)]]))</f>
        <v>7.6530097030413264</v>
      </c>
      <c r="AE40" s="240">
        <v>40</v>
      </c>
      <c r="AF40" s="144" t="s">
        <v>417</v>
      </c>
      <c r="AG40" s="163"/>
      <c r="BC40" s="152" t="s">
        <v>550</v>
      </c>
      <c r="BD40" s="219">
        <v>0.23</v>
      </c>
      <c r="BE40" s="219">
        <v>1.4</v>
      </c>
      <c r="BF40" s="219">
        <v>2000</v>
      </c>
      <c r="BG40" s="219">
        <v>0.69269999999999998</v>
      </c>
      <c r="BH40" s="219">
        <v>7.0300000000000001E-2</v>
      </c>
      <c r="BI40" s="219">
        <v>0</v>
      </c>
      <c r="BJ40" s="219">
        <v>1.1999999999999999E-3</v>
      </c>
      <c r="BK40" s="149">
        <f t="shared" si="4"/>
        <v>1.4957290000000002E-2</v>
      </c>
      <c r="BL40" s="219">
        <v>0.12230000000000001</v>
      </c>
      <c r="BM40" s="183"/>
    </row>
    <row r="41" spans="2:65">
      <c r="B41" s="144" t="str">
        <f>Implements712[[#This Row],[Implement type]]&amp;", "&amp;Implements712[[#This Row],[Width]]&amp;" "&amp;Implements712[[#This Row],[Width Unit]]&amp; ", per "&amp;Implements712[[#This Row],[Use basis]]</f>
        <v>Forage harvester, self-prop pickup head (2X windrows), 40 Ft Folding, per acre</v>
      </c>
      <c r="C41" s="238" t="s">
        <v>422</v>
      </c>
      <c r="D41" s="171">
        <v>40</v>
      </c>
      <c r="E41" s="238" t="s">
        <v>421</v>
      </c>
      <c r="F41" s="171"/>
      <c r="G41" s="238"/>
      <c r="H41" s="227">
        <v>34000</v>
      </c>
      <c r="I41" s="228">
        <v>0.2</v>
      </c>
      <c r="J41" s="174">
        <f t="shared" si="5"/>
        <v>42500</v>
      </c>
      <c r="K41" s="198">
        <f>VLOOKUP(Implements712[[#This Row],[ASABEtype]],ASABECoefficients813[],4,FALSE)/Implements712[[#This Row],[Use (hr/yr)]]</f>
        <v>20</v>
      </c>
      <c r="L41" s="171">
        <v>200</v>
      </c>
      <c r="M41" s="176">
        <f>IF(Implements712[[#This Row],[Use basis]]="hour",,L41*(D41*P41*Q41)/8.25)</f>
        <v>2715.151515151515</v>
      </c>
      <c r="N41" s="177" t="s">
        <v>654</v>
      </c>
      <c r="O41" s="171" t="s">
        <v>420</v>
      </c>
      <c r="P41" s="171">
        <v>4</v>
      </c>
      <c r="Q41" s="228">
        <v>0.7</v>
      </c>
      <c r="R41" s="228">
        <v>1.1499999999999999</v>
      </c>
      <c r="S41" s="171">
        <v>300</v>
      </c>
      <c r="T41"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0.31306845847971265</v>
      </c>
      <c r="U41" s="179">
        <f>Implements712[[#This Row],[TradeIn%]]*Implements712[[#This Row],[PriceL]]</f>
        <v>13305.409485387787</v>
      </c>
      <c r="V41" s="180">
        <f>(Implements712[[#This Row],[PriceP]]-Implements712[[#This Row],[TradeIn$]])/Implements712[[#This Row],[Life (yr)]]/Implements712[[#This Row],[Use (hr/yr)]]</f>
        <v>5.1736476286530539</v>
      </c>
      <c r="W41" s="180">
        <f>((Implements712[[#This Row],[PriceP]]+Implements712[[#This Row],[TradeIn$]])/2*($BP$7+$BP$8+$BP$9)+Implements712[[#This Row],[Shed (ft^2)]]*$BP$12)/Implements712[[#This Row],[Use (hr/yr)]]</f>
        <v>11.370663039358373</v>
      </c>
      <c r="X41" s="180">
        <f>Implements712[[#This Row],[PriceL]]*(VLOOKUP(Implements712[[#This Row],[ASABEtype]],$BC$6:$BM$52,2)*(Implements712[[#This Row],[Life (yr)]]*Implements712[[#This Row],[Use (hr/yr)]]/1000)^VLOOKUP(Implements712[[#This Row],[ASABEtype]],$BC$6:$BM$52,3))/Implements712[[#This Row],[Life (yr)]]/Implements712[[#This Row],[Use (hr/yr)]]</f>
        <v>5.0999999999999996</v>
      </c>
      <c r="Y41" s="180">
        <f>Implements712[[#This Row],[Depr ($/hr)]]+Implements712[[#This Row],[OH ($/hr)]]</f>
        <v>16.544310668011427</v>
      </c>
      <c r="Z41" s="180">
        <f>(Implements712[[#This Row],[PriceP]]-Implements712[[#This Row],[TradeIn$]])/Implements712[[#This Row],[Life (yr)]]/Implements712[[#This Row],[Use (ac/yr)]]</f>
        <v>0.38109457978917582</v>
      </c>
      <c r="AA41" s="201">
        <f>((Implements712[[#This Row],[PriceP]]+Implements712[[#This Row],[TradeIn$]])/2*($BP$7+$BP$8+$BP$9)+Implements712[[#This Row],[Shed (ft^2)]]*$BP$12)/Implements712[[#This Row],[Use (ac/yr)]]</f>
        <v>0.83757116138130883</v>
      </c>
      <c r="AB41"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0.37566964285714288</v>
      </c>
      <c r="AC41" s="182">
        <f>IF(Implements712[[#This Row],[Use basis]]="hour","-",$BP$18/(Implements712[[#This Row],[Width]]*Implements712[[#This Row],[Speed]]*Implements712[[#This Row],[Efficiency]]))</f>
        <v>7.3660714285714288E-2</v>
      </c>
      <c r="AD41" s="163">
        <f>IF(Implements712[[#This Row],[Use basis]]=$N$128,Implements712[[#This Row],[Ownership costs ($/hr)]],SUM(Implements712[[#This Row],[Depr ($/ac)2]:[OH ($/ac)]]))</f>
        <v>1.2186657411704847</v>
      </c>
      <c r="AE41" s="240">
        <v>42</v>
      </c>
      <c r="AF41" s="144" t="s">
        <v>417</v>
      </c>
      <c r="AG41" s="163"/>
      <c r="BC41" s="152" t="s">
        <v>551</v>
      </c>
      <c r="BD41" s="219">
        <v>0.36</v>
      </c>
      <c r="BE41" s="219">
        <v>2</v>
      </c>
      <c r="BF41" s="219">
        <v>1500</v>
      </c>
      <c r="BG41" s="219">
        <v>0.71940000000000004</v>
      </c>
      <c r="BH41" s="219">
        <v>0.11020000000000001</v>
      </c>
      <c r="BI41" s="219">
        <v>0</v>
      </c>
      <c r="BJ41" s="219">
        <v>3.0000000000000001E-3</v>
      </c>
      <c r="BK41" s="149">
        <f t="shared" si="4"/>
        <v>1.4713690000000001E-2</v>
      </c>
      <c r="BL41" s="219">
        <v>0.12130000000000001</v>
      </c>
      <c r="BM41" s="183"/>
    </row>
    <row r="42" spans="2:65">
      <c r="B42" s="144" t="str">
        <f>Implements712[[#This Row],[Implement type]]&amp;", "&amp;Implements712[[#This Row],[Width]]&amp;" "&amp;Implements712[[#This Row],[Width Unit]]&amp; ", per "&amp;Implements712[[#This Row],[Use basis]]</f>
        <v>Forage harvester, self-prop pickup head, 20 Ft, per acre</v>
      </c>
      <c r="C42" s="238" t="s">
        <v>423</v>
      </c>
      <c r="D42" s="171">
        <v>20</v>
      </c>
      <c r="E42" s="238" t="s">
        <v>402</v>
      </c>
      <c r="F42" s="171"/>
      <c r="G42" s="238"/>
      <c r="H42" s="227">
        <v>49000</v>
      </c>
      <c r="I42" s="228">
        <v>0.2</v>
      </c>
      <c r="J42" s="174">
        <f t="shared" si="5"/>
        <v>61250</v>
      </c>
      <c r="K42" s="198">
        <f>VLOOKUP(Implements712[[#This Row],[ASABEtype]],ASABECoefficients813[],4,FALSE)/Implements712[[#This Row],[Use (hr/yr)]]</f>
        <v>20</v>
      </c>
      <c r="L42" s="171">
        <v>200</v>
      </c>
      <c r="M42" s="176">
        <f>IF(Implements712[[#This Row],[Use basis]]="hour",,L42*(D42*P42*Q42)/8.25)</f>
        <v>1357.5757575757575</v>
      </c>
      <c r="N42" s="177" t="s">
        <v>654</v>
      </c>
      <c r="O42" s="171" t="s">
        <v>420</v>
      </c>
      <c r="P42" s="171">
        <v>4</v>
      </c>
      <c r="Q42" s="228">
        <v>0.7</v>
      </c>
      <c r="R42" s="228">
        <v>1.1499999999999999</v>
      </c>
      <c r="S42" s="171">
        <v>300</v>
      </c>
      <c r="T42"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0.31306845847971265</v>
      </c>
      <c r="U42" s="179">
        <f>Implements712[[#This Row],[TradeIn%]]*Implements712[[#This Row],[PriceL]]</f>
        <v>19175.4430818824</v>
      </c>
      <c r="V42" s="180">
        <f>(Implements712[[#This Row],[PriceP]]-Implements712[[#This Row],[TradeIn$]])/Implements712[[#This Row],[Life (yr)]]/Implements712[[#This Row],[Use (hr/yr)]]</f>
        <v>7.4561392295294002</v>
      </c>
      <c r="W42" s="180">
        <f>((Implements712[[#This Row],[PriceP]]+Implements712[[#This Row],[TradeIn$]])/2*($BP$7+$BP$8+$BP$9)+Implements712[[#This Row],[Shed (ft^2)]]*$BP$12)/Implements712[[#This Row],[Use (hr/yr)]]</f>
        <v>15.857720262604717</v>
      </c>
      <c r="X42" s="180">
        <f>Implements712[[#This Row],[PriceL]]*(VLOOKUP(Implements712[[#This Row],[ASABEtype]],$BC$6:$BM$52,2)*(Implements712[[#This Row],[Life (yr)]]*Implements712[[#This Row],[Use (hr/yr)]]/1000)^VLOOKUP(Implements712[[#This Row],[ASABEtype]],$BC$6:$BM$52,3))/Implements712[[#This Row],[Life (yr)]]/Implements712[[#This Row],[Use (hr/yr)]]</f>
        <v>7.35</v>
      </c>
      <c r="Y42" s="180">
        <f>Implements712[[#This Row],[Depr ($/hr)]]+Implements712[[#This Row],[OH ($/hr)]]</f>
        <v>23.313859492134117</v>
      </c>
      <c r="Z42" s="180">
        <f>(Implements712[[#This Row],[PriceP]]-Implements712[[#This Row],[TradeIn$]])/Implements712[[#This Row],[Life (yr)]]/Implements712[[#This Row],[Use (ac/yr)]]</f>
        <v>1.0984490829217421</v>
      </c>
      <c r="AA42" s="201">
        <f>((Implements712[[#This Row],[PriceP]]+Implements712[[#This Row],[TradeIn$]])/2*($BP$7+$BP$8+$BP$9)+Implements712[[#This Row],[Shed (ft^2)]]*$BP$12)/Implements712[[#This Row],[Use (ac/yr)]]</f>
        <v>2.3361820029730165</v>
      </c>
      <c r="AB42"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1.0828125</v>
      </c>
      <c r="AC42" s="182">
        <f>IF(Implements712[[#This Row],[Use basis]]="hour","-",$BP$18/(Implements712[[#This Row],[Width]]*Implements712[[#This Row],[Speed]]*Implements712[[#This Row],[Efficiency]]))</f>
        <v>0.14732142857142858</v>
      </c>
      <c r="AD42" s="163">
        <f>IF(Implements712[[#This Row],[Use basis]]=$N$128,Implements712[[#This Row],[Ownership costs ($/hr)]],SUM(Implements712[[#This Row],[Depr ($/ac)2]:[OH ($/ac)]]))</f>
        <v>3.4346310858947584</v>
      </c>
      <c r="AE42" s="240">
        <v>41</v>
      </c>
      <c r="AF42" s="144" t="s">
        <v>417</v>
      </c>
      <c r="AG42" s="163"/>
      <c r="AU42" s="153"/>
      <c r="BC42" s="152" t="s">
        <v>473</v>
      </c>
      <c r="BD42" s="219">
        <v>0.17</v>
      </c>
      <c r="BE42" s="219">
        <v>2.2000000000000002</v>
      </c>
      <c r="BF42" s="219">
        <v>2000</v>
      </c>
      <c r="BG42" s="219">
        <v>0.69269999999999998</v>
      </c>
      <c r="BH42" s="219">
        <v>7.0300000000000001E-2</v>
      </c>
      <c r="BI42" s="219">
        <v>0</v>
      </c>
      <c r="BJ42" s="219">
        <v>1.1999999999999999E-3</v>
      </c>
      <c r="BK42" s="149">
        <f t="shared" si="4"/>
        <v>1.4957290000000002E-2</v>
      </c>
      <c r="BL42" s="219">
        <v>0.12230000000000001</v>
      </c>
      <c r="BM42" s="183"/>
    </row>
    <row r="43" spans="2:65">
      <c r="B43" s="144" t="str">
        <f>Implements712[[#This Row],[Implement type]]&amp;", "&amp;Implements712[[#This Row],[Width]]&amp;" "&amp;Implements712[[#This Row],[Width Unit]]</f>
        <v>Bed lister, 24 Ft Folding</v>
      </c>
      <c r="C43" s="170" t="s">
        <v>842</v>
      </c>
      <c r="D43" s="171">
        <v>24</v>
      </c>
      <c r="E43" s="170" t="s">
        <v>421</v>
      </c>
      <c r="F43" s="171"/>
      <c r="G43" s="170" t="s">
        <v>234</v>
      </c>
      <c r="H43" s="172">
        <v>32000</v>
      </c>
      <c r="I43" s="173">
        <v>0.1</v>
      </c>
      <c r="J43" s="174">
        <f t="shared" si="5"/>
        <v>35555.555555555555</v>
      </c>
      <c r="K43" s="198">
        <f>VLOOKUP(Implements712[[#This Row],[ASABEtype]],ASABECoefficients813[],4,FALSE)/Implements712[[#This Row],[Use (hr/yr)]]</f>
        <v>10</v>
      </c>
      <c r="L43" s="199">
        <v>200</v>
      </c>
      <c r="M43" s="176">
        <f>IF(Implements712[[#This Row],[Use basis]]="hour",,L43*(D43*P43*Q43)/8.25)</f>
        <v>2967.2727272727275</v>
      </c>
      <c r="N43" s="200" t="s">
        <v>654</v>
      </c>
      <c r="O43" s="171" t="s">
        <v>542</v>
      </c>
      <c r="P43" s="171">
        <v>6</v>
      </c>
      <c r="Q43" s="173">
        <v>0.85</v>
      </c>
      <c r="R43" s="173">
        <v>1.05</v>
      </c>
      <c r="S43" s="171">
        <v>150</v>
      </c>
      <c r="T43"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0.43979410540068858</v>
      </c>
      <c r="U43" s="179">
        <f>Implements712[[#This Row],[TradeIn%]]*Implements712[[#This Row],[PriceL]]</f>
        <v>15637.123747580039</v>
      </c>
      <c r="V43" s="180">
        <f>(Implements712[[#This Row],[PriceP]]-Implements712[[#This Row],[TradeIn$]])/Implements712[[#This Row],[Life (yr)]]/Implements712[[#This Row],[Use (hr/yr)]]</f>
        <v>8.1814381262099793</v>
      </c>
      <c r="W43" s="180">
        <f>((Implements712[[#This Row],[PriceP]]+Implements712[[#This Row],[TradeIn$]])/2*($BP$7+$BP$8+$BP$9)+Implements712[[#This Row],[Shed (ft^2)]]*$BP$12)/Implements712[[#This Row],[Use (hr/yr)]]</f>
        <v>10.841981605729707</v>
      </c>
      <c r="X43" s="180">
        <f>Implements712[[#This Row],[PriceL]]*(VLOOKUP(Implements712[[#This Row],[ASABEtype]],$BC$6:$BM$52,2)*(Implements712[[#This Row],[Life (yr)]]*Implements712[[#This Row],[Use (hr/yr)]]/1000)^VLOOKUP(Implements712[[#This Row],[ASABEtype]],$BC$6:$BM$52,3))/Implements712[[#This Row],[Life (yr)]]/Implements712[[#This Row],[Use (hr/yr)]]</f>
        <v>10.396830673359814</v>
      </c>
      <c r="Y43" s="180">
        <f>Implements712[[#This Row],[Depr ($/hr)]]+Implements712[[#This Row],[OH ($/hr)]]</f>
        <v>19.023419731939686</v>
      </c>
      <c r="Z43" s="180">
        <f>(Implements712[[#This Row],[PriceP]]-Implements712[[#This Row],[TradeIn$]])/Implements712[[#This Row],[Life (yr)]]/Implements712[[#This Row],[Use (ac/yr)]]</f>
        <v>0.55144497174209417</v>
      </c>
      <c r="AA43" s="201">
        <f>((Implements712[[#This Row],[PriceP]]+Implements712[[#This Row],[TradeIn$]])/2*($BP$7+$BP$8+$BP$9)+Implements712[[#This Row],[Shed (ft^2)]]*$BP$12)/Implements712[[#This Row],[Use (ac/yr)]]</f>
        <v>0.73077081901364438</v>
      </c>
      <c r="AB43"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0.70076677332694814</v>
      </c>
      <c r="AC43" s="182">
        <f>IF(Implements712[[#This Row],[Use basis]]="hour","-",$BP$18/(Implements712[[#This Row],[Width]]*Implements712[[#This Row],[Speed]]*Implements712[[#This Row],[Efficiency]]))</f>
        <v>6.7401960784313736E-2</v>
      </c>
      <c r="AD43" s="163">
        <f>IF(Implements712[[#This Row],[Use basis]]=$N$128,Implements712[[#This Row],[Ownership costs ($/hr)]],SUM(Implements712[[#This Row],[Depr ($/ac)2]:[OH ($/ac)]]))</f>
        <v>1.2822157907557385</v>
      </c>
      <c r="AE43" s="163"/>
      <c r="AF43" s="163" t="s">
        <v>642</v>
      </c>
      <c r="AG43" s="163"/>
      <c r="AU43" s="152"/>
      <c r="BC43" s="152" t="s">
        <v>463</v>
      </c>
      <c r="BD43" s="219">
        <v>0.32</v>
      </c>
      <c r="BE43" s="219">
        <v>2.1</v>
      </c>
      <c r="BF43" s="219">
        <v>1500</v>
      </c>
      <c r="BG43" s="219">
        <v>0.85540000000000005</v>
      </c>
      <c r="BH43" s="219">
        <v>0.1177</v>
      </c>
      <c r="BI43" s="219">
        <v>0</v>
      </c>
      <c r="BJ43" s="219">
        <v>2.8999999999999998E-3</v>
      </c>
      <c r="BK43" s="149">
        <f t="shared" si="4"/>
        <v>1.6230760000000004E-2</v>
      </c>
      <c r="BL43" s="219">
        <v>0.12740000000000001</v>
      </c>
      <c r="BM43" s="183"/>
    </row>
    <row r="44" spans="2:65">
      <c r="B44" s="144" t="str">
        <f>Implements712[[#This Row],[Implement type]]&amp;", "&amp;Implements712[[#This Row],[Width]]&amp;" "&amp;Implements712[[#This Row],[Width Unit]]</f>
        <v>Bed lister, 36 Ft Folding</v>
      </c>
      <c r="C44" s="170" t="s">
        <v>842</v>
      </c>
      <c r="D44" s="171">
        <v>36</v>
      </c>
      <c r="E44" s="170" t="s">
        <v>421</v>
      </c>
      <c r="F44" s="171"/>
      <c r="G44" s="170" t="s">
        <v>636</v>
      </c>
      <c r="H44" s="172">
        <v>46400</v>
      </c>
      <c r="I44" s="173">
        <v>0.1</v>
      </c>
      <c r="J44" s="174">
        <f t="shared" si="5"/>
        <v>51555.555555555555</v>
      </c>
      <c r="K44" s="198">
        <f>VLOOKUP(Implements712[[#This Row],[ASABEtype]],ASABECoefficients813[],4,FALSE)/Implements712[[#This Row],[Use (hr/yr)]]</f>
        <v>10</v>
      </c>
      <c r="L44" s="199">
        <v>200</v>
      </c>
      <c r="M44" s="176">
        <f>IF(Implements712[[#This Row],[Use basis]]="hour",,L44*(D44*P44*Q44)/8.25)</f>
        <v>4450.909090909091</v>
      </c>
      <c r="N44" s="200" t="s">
        <v>654</v>
      </c>
      <c r="O44" s="171" t="s">
        <v>542</v>
      </c>
      <c r="P44" s="171">
        <v>6</v>
      </c>
      <c r="Q44" s="173">
        <v>0.85</v>
      </c>
      <c r="R44" s="173">
        <v>1.05</v>
      </c>
      <c r="S44" s="171">
        <v>200</v>
      </c>
      <c r="T44"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0.43979410540068858</v>
      </c>
      <c r="U44" s="179">
        <f>Implements712[[#This Row],[TradeIn%]]*Implements712[[#This Row],[PriceL]]</f>
        <v>22673.829433991057</v>
      </c>
      <c r="V44" s="180">
        <f>(Implements712[[#This Row],[PriceP]]-Implements712[[#This Row],[TradeIn$]])/Implements712[[#This Row],[Life (yr)]]/Implements712[[#This Row],[Use (hr/yr)]]</f>
        <v>11.863085283004471</v>
      </c>
      <c r="W44" s="180">
        <f>((Implements712[[#This Row],[PriceP]]+Implements712[[#This Row],[TradeIn$]])/2*($BP$7+$BP$8+$BP$9)+Implements712[[#This Row],[Shed (ft^2)]]*$BP$12)/Implements712[[#This Row],[Use (hr/yr)]]</f>
        <v>15.650873328308075</v>
      </c>
      <c r="X44" s="180">
        <f>Implements712[[#This Row],[PriceL]]*(VLOOKUP(Implements712[[#This Row],[ASABEtype]],$BC$6:$BM$52,2)*(Implements712[[#This Row],[Life (yr)]]*Implements712[[#This Row],[Use (hr/yr)]]/1000)^VLOOKUP(Implements712[[#This Row],[ASABEtype]],$BC$6:$BM$52,3))/Implements712[[#This Row],[Life (yr)]]/Implements712[[#This Row],[Use (hr/yr)]]</f>
        <v>15.075404476371727</v>
      </c>
      <c r="Y44" s="180">
        <f>Implements712[[#This Row],[Depr ($/hr)]]+Implements712[[#This Row],[OH ($/hr)]]</f>
        <v>27.513958611312546</v>
      </c>
      <c r="Z44" s="180">
        <f>(Implements712[[#This Row],[PriceP]]-Implements712[[#This Row],[TradeIn$]])/Implements712[[#This Row],[Life (yr)]]/Implements712[[#This Row],[Use (ac/yr)]]</f>
        <v>0.53306347268402443</v>
      </c>
      <c r="AA44" s="201">
        <f>((Implements712[[#This Row],[PriceP]]+Implements712[[#This Row],[TradeIn$]])/2*($BP$7+$BP$8+$BP$9)+Implements712[[#This Row],[Shed (ft^2)]]*$BP$12)/Implements712[[#This Row],[Use (ac/yr)]]</f>
        <v>0.70326636687658839</v>
      </c>
      <c r="AB44"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0.67740788088271653</v>
      </c>
      <c r="AC44" s="182">
        <f>IF(Implements712[[#This Row],[Use basis]]="hour","-",$BP$18/(Implements712[[#This Row],[Width]]*Implements712[[#This Row],[Speed]]*Implements712[[#This Row],[Efficiency]]))</f>
        <v>4.4934640522875817E-2</v>
      </c>
      <c r="AD44" s="163">
        <f>IF(Implements712[[#This Row],[Use basis]]=$N$128,Implements712[[#This Row],[Ownership costs ($/hr)]],SUM(Implements712[[#This Row],[Depr ($/ac)2]:[OH ($/ac)]]))</f>
        <v>1.2363298395606128</v>
      </c>
      <c r="AE44" s="163"/>
      <c r="AF44" s="163" t="s">
        <v>642</v>
      </c>
      <c r="AG44" s="163"/>
      <c r="AU44" s="152"/>
      <c r="BC44" s="152" t="s">
        <v>438</v>
      </c>
      <c r="BD44" s="219">
        <v>0.17</v>
      </c>
      <c r="BE44" s="219">
        <v>1.4</v>
      </c>
      <c r="BF44" s="219">
        <v>2500</v>
      </c>
      <c r="BG44" s="219">
        <v>0.80910000000000004</v>
      </c>
      <c r="BH44" s="219">
        <v>0.1109</v>
      </c>
      <c r="BI44" s="219">
        <v>0</v>
      </c>
      <c r="BJ44" s="219">
        <v>1.4E-3</v>
      </c>
      <c r="BK44" s="149">
        <f t="shared" si="4"/>
        <v>1.605289E-2</v>
      </c>
      <c r="BL44" s="219">
        <v>0.12670000000000001</v>
      </c>
      <c r="BM44" s="183"/>
    </row>
    <row r="45" spans="2:65">
      <c r="B45" s="144" t="str">
        <f>Implements712[[#This Row],[Implement type]]&amp;", "&amp;Implements712[[#This Row],[Width]]&amp;" "&amp;Implements712[[#This Row],[Width Unit]]</f>
        <v>Bed hipper, 24 Ft Folding</v>
      </c>
      <c r="C45" s="170" t="s">
        <v>843</v>
      </c>
      <c r="D45" s="171">
        <v>24</v>
      </c>
      <c r="E45" s="170" t="s">
        <v>421</v>
      </c>
      <c r="F45" s="171"/>
      <c r="G45" s="170" t="s">
        <v>234</v>
      </c>
      <c r="H45" s="172">
        <v>37500</v>
      </c>
      <c r="I45" s="173">
        <v>0.1</v>
      </c>
      <c r="J45" s="174">
        <f t="shared" si="5"/>
        <v>41666.666666666664</v>
      </c>
      <c r="K45" s="198">
        <f>VLOOKUP(Implements712[[#This Row],[ASABEtype]],ASABECoefficients813[],4,FALSE)/Implements712[[#This Row],[Use (hr/yr)]]</f>
        <v>10</v>
      </c>
      <c r="L45" s="199">
        <v>200</v>
      </c>
      <c r="M45" s="176">
        <f>IF(Implements712[[#This Row],[Use basis]]="hour",,L45*(D45*P45*Q45)/8.25)</f>
        <v>2967.2727272727275</v>
      </c>
      <c r="N45" s="200" t="s">
        <v>654</v>
      </c>
      <c r="O45" s="171" t="s">
        <v>413</v>
      </c>
      <c r="P45" s="171">
        <v>6</v>
      </c>
      <c r="Q45" s="173">
        <v>0.85</v>
      </c>
      <c r="R45" s="173">
        <v>1.05</v>
      </c>
      <c r="S45" s="171">
        <v>150</v>
      </c>
      <c r="T45"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0.43979410540068858</v>
      </c>
      <c r="U45" s="179">
        <f>Implements712[[#This Row],[TradeIn%]]*Implements712[[#This Row],[PriceL]]</f>
        <v>18324.754391695358</v>
      </c>
      <c r="V45" s="180">
        <f>(Implements712[[#This Row],[PriceP]]-Implements712[[#This Row],[TradeIn$]])/Implements712[[#This Row],[Life (yr)]]/Implements712[[#This Row],[Use (hr/yr)]]</f>
        <v>9.5876228041523213</v>
      </c>
      <c r="W45" s="180">
        <f>((Implements712[[#This Row],[PriceP]]+Implements712[[#This Row],[TradeIn$]])/2*($BP$7+$BP$8+$BP$9)+Implements712[[#This Row],[Shed (ft^2)]]*$BP$12)/Implements712[[#This Row],[Use (hr/yr)]]</f>
        <v>12.602322194214501</v>
      </c>
      <c r="X45" s="180">
        <f>Implements712[[#This Row],[PriceL]]*(VLOOKUP(Implements712[[#This Row],[ASABEtype]],$BC$6:$BM$52,2)*(Implements712[[#This Row],[Life (yr)]]*Implements712[[#This Row],[Use (hr/yr)]]/1000)^VLOOKUP(Implements712[[#This Row],[ASABEtype]],$BC$6:$BM$52,3))/Implements712[[#This Row],[Life (yr)]]/Implements712[[#This Row],[Use (hr/yr)]]</f>
        <v>12.18378594534353</v>
      </c>
      <c r="Y45" s="180">
        <f>Implements712[[#This Row],[Depr ($/hr)]]+Implements712[[#This Row],[OH ($/hr)]]</f>
        <v>22.189944998366823</v>
      </c>
      <c r="Z45" s="180">
        <f>(Implements712[[#This Row],[PriceP]]-Implements712[[#This Row],[TradeIn$]])/Implements712[[#This Row],[Life (yr)]]/Implements712[[#This Row],[Use (ac/yr)]]</f>
        <v>0.64622457626026675</v>
      </c>
      <c r="AA45" s="201">
        <f>((Implements712[[#This Row],[PriceP]]+Implements712[[#This Row],[TradeIn$]])/2*($BP$7+$BP$8+$BP$9)+Implements712[[#This Row],[Shed (ft^2)]]*$BP$12)/Implements712[[#This Row],[Use (ac/yr)]]</f>
        <v>0.84942122632573225</v>
      </c>
      <c r="AB45"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0.8212110624925173</v>
      </c>
      <c r="AC45" s="182">
        <f>IF(Implements712[[#This Row],[Use basis]]="hour","-",$BP$18/(Implements712[[#This Row],[Width]]*Implements712[[#This Row],[Speed]]*Implements712[[#This Row],[Efficiency]]))</f>
        <v>6.7401960784313736E-2</v>
      </c>
      <c r="AD45" s="163">
        <f>IF(Implements712[[#This Row],[Use basis]]=$N$128,Implements712[[#This Row],[Ownership costs ($/hr)]],SUM(Implements712[[#This Row],[Depr ($/ac)2]:[OH ($/ac)]]))</f>
        <v>1.4956458025859991</v>
      </c>
      <c r="AE45" s="163"/>
      <c r="AF45" s="163" t="s">
        <v>642</v>
      </c>
      <c r="AG45" s="163"/>
      <c r="BC45" s="144" t="s">
        <v>403</v>
      </c>
      <c r="BD45" s="145">
        <v>7.0000000000000001E-3</v>
      </c>
      <c r="BE45" s="145">
        <v>2</v>
      </c>
      <c r="BF45" s="145">
        <v>3000</v>
      </c>
      <c r="BG45" s="145">
        <v>0.72750000000000004</v>
      </c>
      <c r="BH45" s="145">
        <v>8.0600000000000005E-2</v>
      </c>
      <c r="BI45" s="145">
        <v>2.5000000000000001E-3</v>
      </c>
      <c r="BJ45" s="145">
        <v>4.0000000000000001E-3</v>
      </c>
      <c r="BK45" s="144">
        <v>8.1199999999999994E-2</v>
      </c>
      <c r="BL45" s="219"/>
      <c r="BM45" s="183"/>
    </row>
    <row r="46" spans="2:65">
      <c r="B46" s="144" t="str">
        <f>Implements712[[#This Row],[Implement type]]&amp;", "&amp;Implements712[[#This Row],[Width]]&amp;" "&amp;Implements712[[#This Row],[Width Unit]]</f>
        <v>Bed hipper, 36 Ft Folding</v>
      </c>
      <c r="C46" s="170" t="s">
        <v>843</v>
      </c>
      <c r="D46" s="171">
        <v>36</v>
      </c>
      <c r="E46" s="170" t="s">
        <v>421</v>
      </c>
      <c r="F46" s="171"/>
      <c r="G46" s="170" t="s">
        <v>636</v>
      </c>
      <c r="H46" s="172">
        <v>51000</v>
      </c>
      <c r="I46" s="173">
        <v>0.1</v>
      </c>
      <c r="J46" s="174">
        <f t="shared" si="5"/>
        <v>56666.666666666664</v>
      </c>
      <c r="K46" s="198">
        <f>VLOOKUP(Implements712[[#This Row],[ASABEtype]],ASABECoefficients813[],4,FALSE)/Implements712[[#This Row],[Use (hr/yr)]]</f>
        <v>10</v>
      </c>
      <c r="L46" s="199">
        <v>200</v>
      </c>
      <c r="M46" s="176">
        <f>IF(Implements712[[#This Row],[Use basis]]="hour",,L46*(D46*P46*Q46)/8.25)</f>
        <v>4450.909090909091</v>
      </c>
      <c r="N46" s="200" t="s">
        <v>654</v>
      </c>
      <c r="O46" s="171" t="s">
        <v>413</v>
      </c>
      <c r="P46" s="171">
        <v>6</v>
      </c>
      <c r="Q46" s="173">
        <v>0.85</v>
      </c>
      <c r="R46" s="173">
        <v>1.05</v>
      </c>
      <c r="S46" s="171">
        <v>200</v>
      </c>
      <c r="T46"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0.43979410540068858</v>
      </c>
      <c r="U46" s="179">
        <f>Implements712[[#This Row],[TradeIn%]]*Implements712[[#This Row],[PriceL]]</f>
        <v>24921.665972705687</v>
      </c>
      <c r="V46" s="180">
        <f>(Implements712[[#This Row],[PriceP]]-Implements712[[#This Row],[TradeIn$]])/Implements712[[#This Row],[Life (yr)]]/Implements712[[#This Row],[Use (hr/yr)]]</f>
        <v>13.039167013647157</v>
      </c>
      <c r="W46" s="180">
        <f>((Implements712[[#This Row],[PriceP]]+Implements712[[#This Row],[TradeIn$]])/2*($BP$7+$BP$8+$BP$9)+Implements712[[#This Row],[Shed (ft^2)]]*$BP$12)/Implements712[[#This Row],[Use (hr/yr)]]</f>
        <v>17.123158184131722</v>
      </c>
      <c r="X46" s="180">
        <f>Implements712[[#This Row],[PriceL]]*(VLOOKUP(Implements712[[#This Row],[ASABEtype]],$BC$6:$BM$52,2)*(Implements712[[#This Row],[Life (yr)]]*Implements712[[#This Row],[Use (hr/yr)]]/1000)^VLOOKUP(Implements712[[#This Row],[ASABEtype]],$BC$6:$BM$52,3))/Implements712[[#This Row],[Life (yr)]]/Implements712[[#This Row],[Use (hr/yr)]]</f>
        <v>16.569948885667198</v>
      </c>
      <c r="Y46" s="180">
        <f>Implements712[[#This Row],[Depr ($/hr)]]+Implements712[[#This Row],[OH ($/hr)]]</f>
        <v>30.162325197778877</v>
      </c>
      <c r="Z46" s="180">
        <f>(Implements712[[#This Row],[PriceP]]-Implements712[[#This Row],[TradeIn$]])/Implements712[[#This Row],[Life (yr)]]/Implements712[[#This Row],[Use (ac/yr)]]</f>
        <v>0.58591028247597521</v>
      </c>
      <c r="AA46" s="201">
        <f>((Implements712[[#This Row],[PriceP]]+Implements712[[#This Row],[TradeIn$]])/2*($BP$7+$BP$8+$BP$9)+Implements712[[#This Row],[Shed (ft^2)]]*$BP$12)/Implements712[[#This Row],[Use (ac/yr)]]</f>
        <v>0.76942295762029789</v>
      </c>
      <c r="AB46"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0.74456469665988234</v>
      </c>
      <c r="AC46" s="182">
        <f>IF(Implements712[[#This Row],[Use basis]]="hour","-",$BP$18/(Implements712[[#This Row],[Width]]*Implements712[[#This Row],[Speed]]*Implements712[[#This Row],[Efficiency]]))</f>
        <v>4.4934640522875817E-2</v>
      </c>
      <c r="AD46" s="163">
        <f>IF(Implements712[[#This Row],[Use basis]]=$N$128,Implements712[[#This Row],[Ownership costs ($/hr)]],SUM(Implements712[[#This Row],[Depr ($/ac)2]:[OH ($/ac)]]))</f>
        <v>1.355333240096273</v>
      </c>
      <c r="AE46" s="163"/>
      <c r="AF46" s="163" t="s">
        <v>642</v>
      </c>
      <c r="AG46" s="163"/>
      <c r="AU46" s="152"/>
      <c r="BC46" s="152" t="s">
        <v>552</v>
      </c>
      <c r="BD46" s="219">
        <v>0.27</v>
      </c>
      <c r="BE46" s="219">
        <v>1.4</v>
      </c>
      <c r="BF46" s="219">
        <v>2000</v>
      </c>
      <c r="BG46" s="219">
        <v>0.69269999999999998</v>
      </c>
      <c r="BH46" s="219">
        <v>7.0300000000000001E-2</v>
      </c>
      <c r="BI46" s="219">
        <v>0</v>
      </c>
      <c r="BJ46" s="219">
        <v>1.1999999999999999E-3</v>
      </c>
      <c r="BK46" s="149">
        <f t="shared" ref="BK46:BK52" si="7">BL46^2</f>
        <v>1.4957290000000002E-2</v>
      </c>
      <c r="BL46" s="219">
        <v>0.12230000000000001</v>
      </c>
      <c r="BM46" s="183"/>
    </row>
    <row r="47" spans="2:65">
      <c r="B47" s="144" t="str">
        <f>Implements712[[#This Row],[Implement type]]&amp;", "&amp;Implements712[[#This Row],[Width]]&amp;" "&amp;Implements712[[#This Row],[Width Unit]]</f>
        <v>Bed leveler, 24 Ft Folding</v>
      </c>
      <c r="C47" s="170" t="s">
        <v>622</v>
      </c>
      <c r="D47" s="171">
        <v>24</v>
      </c>
      <c r="E47" s="170" t="s">
        <v>421</v>
      </c>
      <c r="F47" s="171"/>
      <c r="G47" s="170" t="s">
        <v>234</v>
      </c>
      <c r="H47" s="172">
        <v>29000</v>
      </c>
      <c r="I47" s="173">
        <v>0.1</v>
      </c>
      <c r="J47" s="174">
        <f t="shared" si="5"/>
        <v>32222.222222222223</v>
      </c>
      <c r="K47" s="198">
        <f>VLOOKUP(Implements712[[#This Row],[ASABEtype]],ASABECoefficients813[],4,FALSE)/Implements712[[#This Row],[Use (hr/yr)]]</f>
        <v>7.5</v>
      </c>
      <c r="L47" s="199">
        <v>200</v>
      </c>
      <c r="M47" s="176">
        <f>IF(Implements712[[#This Row],[Use basis]]="hour",,L47*(D47*P47*Q47)/8.25)</f>
        <v>3956.363636363636</v>
      </c>
      <c r="N47" s="200" t="s">
        <v>654</v>
      </c>
      <c r="O47" s="171" t="s">
        <v>551</v>
      </c>
      <c r="P47" s="171">
        <v>8</v>
      </c>
      <c r="Q47" s="173">
        <v>0.85</v>
      </c>
      <c r="R47" s="173">
        <v>1.05</v>
      </c>
      <c r="S47" s="171">
        <v>200</v>
      </c>
      <c r="T47"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0.50363831774677092</v>
      </c>
      <c r="U47" s="179">
        <f>Implements712[[#This Row],[TradeIn%]]*Implements712[[#This Row],[PriceL]]</f>
        <v>16228.345794062619</v>
      </c>
      <c r="V47" s="180">
        <f>(Implements712[[#This Row],[PriceP]]-Implements712[[#This Row],[TradeIn$]])/Implements712[[#This Row],[Life (yr)]]/Implements712[[#This Row],[Use (hr/yr)]]</f>
        <v>8.5144361372915878</v>
      </c>
      <c r="W47" s="180">
        <f>((Implements712[[#This Row],[PriceP]]+Implements712[[#This Row],[TradeIn$]])/2*($BP$7+$BP$8+$BP$9)+Implements712[[#This Row],[Shed (ft^2)]]*$BP$12)/Implements712[[#This Row],[Use (hr/yr)]]</f>
        <v>10.52409434572346</v>
      </c>
      <c r="X47" s="180">
        <f>Implements712[[#This Row],[PriceL]]*(VLOOKUP(Implements712[[#This Row],[ASABEtype]],$BC$6:$BM$52,2)*(Implements712[[#This Row],[Life (yr)]]*Implements712[[#This Row],[Use (hr/yr)]]/1000)^VLOOKUP(Implements712[[#This Row],[ASABEtype]],$BC$6:$BM$52,3))/Implements712[[#This Row],[Life (yr)]]/Implements712[[#This Row],[Use (hr/yr)]]</f>
        <v>17.399999999999999</v>
      </c>
      <c r="Y47" s="180">
        <f>Implements712[[#This Row],[Depr ($/hr)]]+Implements712[[#This Row],[OH ($/hr)]]</f>
        <v>19.038530483015048</v>
      </c>
      <c r="Z47" s="180">
        <f>(Implements712[[#This Row],[PriceP]]-Implements712[[#This Row],[TradeIn$]])/Implements712[[#This Row],[Life (yr)]]/Implements712[[#This Row],[Use (ac/yr)]]</f>
        <v>0.43041726796970348</v>
      </c>
      <c r="AA47" s="201">
        <f>((Implements712[[#This Row],[PriceP]]+Implements712[[#This Row],[TradeIn$]])/2*($BP$7+$BP$8+$BP$9)+Implements712[[#This Row],[Shed (ft^2)]]*$BP$12)/Implements712[[#This Row],[Use (ac/yr)]]</f>
        <v>0.53200844578565298</v>
      </c>
      <c r="AB47"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0.87959558823529416</v>
      </c>
      <c r="AC47" s="182">
        <f>IF(Implements712[[#This Row],[Use basis]]="hour","-",$BP$18/(Implements712[[#This Row],[Width]]*Implements712[[#This Row],[Speed]]*Implements712[[#This Row],[Efficiency]]))</f>
        <v>5.0551470588235295E-2</v>
      </c>
      <c r="AD47" s="163">
        <f>IF(Implements712[[#This Row],[Use basis]]=$N$128,Implements712[[#This Row],[Ownership costs ($/hr)]],SUM(Implements712[[#This Row],[Depr ($/ac)2]:[OH ($/ac)]]))</f>
        <v>0.96242571375535646</v>
      </c>
      <c r="AE47" s="163"/>
      <c r="AF47" s="163" t="s">
        <v>642</v>
      </c>
      <c r="AG47" s="163"/>
      <c r="AU47" s="152"/>
      <c r="BC47" s="152" t="s">
        <v>553</v>
      </c>
      <c r="BD47" s="219">
        <v>0.59</v>
      </c>
      <c r="BE47" s="219">
        <v>1.3</v>
      </c>
      <c r="BF47" s="219">
        <v>1500</v>
      </c>
      <c r="BG47" s="219">
        <v>0.71940000000000004</v>
      </c>
      <c r="BH47" s="219">
        <v>0.11020000000000001</v>
      </c>
      <c r="BI47" s="219">
        <v>0</v>
      </c>
      <c r="BJ47" s="219">
        <v>3.0000000000000001E-3</v>
      </c>
      <c r="BK47" s="149">
        <f t="shared" si="7"/>
        <v>1.4713690000000001E-2</v>
      </c>
      <c r="BL47" s="219">
        <v>0.12130000000000001</v>
      </c>
      <c r="BM47" s="183"/>
    </row>
    <row r="48" spans="2:65">
      <c r="B48" s="144" t="str">
        <f>Implements712[[#This Row],[Implement type]]&amp;", "&amp;Implements712[[#This Row],[Width]]&amp;" "&amp;Implements712[[#This Row],[Width Unit]]</f>
        <v>Bed leveler, 36 Ft Folding</v>
      </c>
      <c r="C48" s="170" t="s">
        <v>622</v>
      </c>
      <c r="D48" s="171">
        <v>36</v>
      </c>
      <c r="E48" s="170" t="s">
        <v>421</v>
      </c>
      <c r="F48" s="171"/>
      <c r="G48" s="170" t="s">
        <v>636</v>
      </c>
      <c r="H48" s="172">
        <v>35250</v>
      </c>
      <c r="I48" s="173">
        <v>0.1</v>
      </c>
      <c r="J48" s="174">
        <f t="shared" si="5"/>
        <v>39166.666666666664</v>
      </c>
      <c r="K48" s="198">
        <f>VLOOKUP(Implements712[[#This Row],[ASABEtype]],ASABECoefficients813[],4,FALSE)/Implements712[[#This Row],[Use (hr/yr)]]</f>
        <v>7.5</v>
      </c>
      <c r="L48" s="199">
        <v>200</v>
      </c>
      <c r="M48" s="176">
        <f>IF(Implements712[[#This Row],[Use basis]]="hour",,L48*(D48*P48*Q48)/8.25)</f>
        <v>5934.545454545455</v>
      </c>
      <c r="N48" s="200" t="s">
        <v>654</v>
      </c>
      <c r="O48" s="171" t="s">
        <v>551</v>
      </c>
      <c r="P48" s="171">
        <v>8</v>
      </c>
      <c r="Q48" s="173">
        <v>0.85</v>
      </c>
      <c r="R48" s="173">
        <v>1.05</v>
      </c>
      <c r="S48" s="171">
        <v>275</v>
      </c>
      <c r="T48"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0.50363831774677092</v>
      </c>
      <c r="U48" s="179">
        <f>Implements712[[#This Row],[TradeIn%]]*Implements712[[#This Row],[PriceL]]</f>
        <v>19725.834111748525</v>
      </c>
      <c r="V48" s="180">
        <f>(Implements712[[#This Row],[PriceP]]-Implements712[[#This Row],[TradeIn$]])/Implements712[[#This Row],[Life (yr)]]/Implements712[[#This Row],[Use (hr/yr)]]</f>
        <v>10.349443925500985</v>
      </c>
      <c r="W48" s="180">
        <f>((Implements712[[#This Row],[PriceP]]+Implements712[[#This Row],[TradeIn$]])/2*($BP$7+$BP$8+$BP$9)+Implements712[[#This Row],[Shed (ft^2)]]*$BP$12)/Implements712[[#This Row],[Use (hr/yr)]]</f>
        <v>12.919804334025933</v>
      </c>
      <c r="X48" s="180">
        <f>Implements712[[#This Row],[PriceL]]*(VLOOKUP(Implements712[[#This Row],[ASABEtype]],$BC$6:$BM$52,2)*(Implements712[[#This Row],[Life (yr)]]*Implements712[[#This Row],[Use (hr/yr)]]/1000)^VLOOKUP(Implements712[[#This Row],[ASABEtype]],$BC$6:$BM$52,3))/Implements712[[#This Row],[Life (yr)]]/Implements712[[#This Row],[Use (hr/yr)]]</f>
        <v>21.149999999999995</v>
      </c>
      <c r="Y48" s="180">
        <f>Implements712[[#This Row],[Depr ($/hr)]]+Implements712[[#This Row],[OH ($/hr)]]</f>
        <v>23.269248259526918</v>
      </c>
      <c r="Z48" s="180">
        <f>(Implements712[[#This Row],[PriceP]]-Implements712[[#This Row],[TradeIn$]])/Implements712[[#This Row],[Life (yr)]]/Implements712[[#This Row],[Use (ac/yr)]]</f>
        <v>0.34878640680303558</v>
      </c>
      <c r="AA48" s="201">
        <f>((Implements712[[#This Row],[PriceP]]+Implements712[[#This Row],[TradeIn$]])/2*($BP$7+$BP$8+$BP$9)+Implements712[[#This Row],[Shed (ft^2)]]*$BP$12)/Implements712[[#This Row],[Use (ac/yr)]]</f>
        <v>0.43541007253151115</v>
      </c>
      <c r="AB48"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0.71277573529411742</v>
      </c>
      <c r="AC48" s="182">
        <f>IF(Implements712[[#This Row],[Use basis]]="hour","-",$BP$18/(Implements712[[#This Row],[Width]]*Implements712[[#This Row],[Speed]]*Implements712[[#This Row],[Efficiency]]))</f>
        <v>3.3700980392156868E-2</v>
      </c>
      <c r="AD48" s="163">
        <f>IF(Implements712[[#This Row],[Use basis]]=$N$128,Implements712[[#This Row],[Ownership costs ($/hr)]],SUM(Implements712[[#This Row],[Depr ($/ac)2]:[OH ($/ac)]]))</f>
        <v>0.78419647933454673</v>
      </c>
      <c r="AE48" s="163"/>
      <c r="AF48" s="163" t="s">
        <v>642</v>
      </c>
      <c r="AG48" s="163"/>
      <c r="AU48" s="153"/>
      <c r="BC48" s="152" t="s">
        <v>413</v>
      </c>
      <c r="BD48" s="219">
        <v>0.18</v>
      </c>
      <c r="BE48" s="219">
        <v>1.7</v>
      </c>
      <c r="BF48" s="219">
        <v>2000</v>
      </c>
      <c r="BG48" s="219">
        <v>0.71940000000000004</v>
      </c>
      <c r="BH48" s="219">
        <v>0.11020000000000001</v>
      </c>
      <c r="BI48" s="219">
        <v>0</v>
      </c>
      <c r="BJ48" s="219">
        <v>3.0000000000000001E-3</v>
      </c>
      <c r="BK48" s="149">
        <f t="shared" si="7"/>
        <v>1.4713690000000001E-2</v>
      </c>
      <c r="BL48" s="219">
        <v>0.12130000000000001</v>
      </c>
      <c r="BM48" s="183"/>
    </row>
    <row r="49" spans="2:65">
      <c r="B49" s="144" t="str">
        <f>Implements712[[#This Row],[Implement type]]&amp;", "&amp;Implements712[[#This Row],[Width]]&amp;" "&amp;Implements712[[#This Row],[Width Unit]]&amp; ", per "&amp;Implements712[[#This Row],[Use basis]]</f>
        <v>Combine belt pickup hd, 40 Ft, per acre</v>
      </c>
      <c r="C49" s="238" t="s">
        <v>424</v>
      </c>
      <c r="D49" s="171">
        <v>40</v>
      </c>
      <c r="E49" s="238" t="s">
        <v>402</v>
      </c>
      <c r="F49" s="171"/>
      <c r="G49" s="238"/>
      <c r="H49" s="227">
        <v>35000</v>
      </c>
      <c r="I49" s="228">
        <v>0.2</v>
      </c>
      <c r="J49" s="174">
        <f t="shared" si="5"/>
        <v>43750</v>
      </c>
      <c r="K49" s="198">
        <f>VLOOKUP(Implements712[[#This Row],[ASABEtype]],ASABECoefficients813[],4,FALSE)/Implements712[[#This Row],[Use (hr/yr)]]</f>
        <v>20</v>
      </c>
      <c r="L49" s="227">
        <v>150</v>
      </c>
      <c r="M49" s="176">
        <f>IF(Implements712[[#This Row],[Use basis]]="hour",,L49*(D49*P49*Q49)/8.25)</f>
        <v>2618.181818181818</v>
      </c>
      <c r="N49" s="177" t="s">
        <v>654</v>
      </c>
      <c r="O49" s="171" t="s">
        <v>425</v>
      </c>
      <c r="P49" s="171">
        <v>4.5</v>
      </c>
      <c r="Q49" s="228">
        <v>0.8</v>
      </c>
      <c r="R49" s="228">
        <v>1.1499999999999999</v>
      </c>
      <c r="S49" s="171">
        <v>75</v>
      </c>
      <c r="T49"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7.0827473143356634E-2</v>
      </c>
      <c r="U49" s="179">
        <f>Implements712[[#This Row],[TradeIn%]]*Implements712[[#This Row],[PriceL]]</f>
        <v>3098.7019500218526</v>
      </c>
      <c r="V49" s="180">
        <f>(Implements712[[#This Row],[PriceP]]-Implements712[[#This Row],[TradeIn$]])/Implements712[[#This Row],[Life (yr)]]/Implements712[[#This Row],[Use (hr/yr)]]</f>
        <v>10.633766016659383</v>
      </c>
      <c r="W49" s="180">
        <f>((Implements712[[#This Row],[PriceP]]+Implements712[[#This Row],[TradeIn$]])/2*($BP$7+$BP$8+$BP$9)+Implements712[[#This Row],[Shed (ft^2)]]*$BP$12)/Implements712[[#This Row],[Use (hr/yr)]]</f>
        <v>11.321627892339595</v>
      </c>
      <c r="X49" s="180">
        <f>Implements712[[#This Row],[PriceL]]*(VLOOKUP(Implements712[[#This Row],[ASABEtype]],$BC$6:$BM$52,2)*(Implements712[[#This Row],[Life (yr)]]*Implements712[[#This Row],[Use (hr/yr)]]/1000)^VLOOKUP(Implements712[[#This Row],[ASABEtype]],$BC$6:$BM$52,3))/Implements712[[#This Row],[Life (yr)]]/Implements712[[#This Row],[Use (hr/yr)]]</f>
        <v>5.8596466636780011</v>
      </c>
      <c r="Y49" s="180">
        <f>Implements712[[#This Row],[Depr ($/hr)]]+Implements712[[#This Row],[OH ($/hr)]]</f>
        <v>21.955393908998978</v>
      </c>
      <c r="Z49" s="180">
        <f>(Implements712[[#This Row],[PriceP]]-Implements712[[#This Row],[TradeIn$]])/Implements712[[#This Row],[Life (yr)]]/Implements712[[#This Row],[Use (ac/yr)]]</f>
        <v>0.60922617803777723</v>
      </c>
      <c r="AA49" s="201">
        <f>((Implements712[[#This Row],[PriceP]]+Implements712[[#This Row],[TradeIn$]])/2*($BP$7+$BP$8+$BP$9)+Implements712[[#This Row],[Shed (ft^2)]]*$BP$12)/Implements712[[#This Row],[Use (ac/yr)]]</f>
        <v>0.64863493133195604</v>
      </c>
      <c r="AB49"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0.33570892343988551</v>
      </c>
      <c r="AC49" s="182">
        <f>IF(Implements712[[#This Row],[Use basis]]="hour","-",$BP$18/(Implements712[[#This Row],[Width]]*Implements712[[#This Row],[Speed]]*Implements712[[#This Row],[Efficiency]]))</f>
        <v>5.7291666666666664E-2</v>
      </c>
      <c r="AD49" s="163">
        <f>IF(Implements712[[#This Row],[Use basis]]=$N$128,Implements712[[#This Row],[Ownership costs ($/hr)]],SUM(Implements712[[#This Row],[Depr ($/ac)2]:[OH ($/ac)]]))</f>
        <v>1.2578611093697334</v>
      </c>
      <c r="AE49" s="240">
        <v>53</v>
      </c>
      <c r="AF49" s="144" t="s">
        <v>426</v>
      </c>
      <c r="AG49" s="163"/>
      <c r="AU49" s="152"/>
      <c r="BC49" s="152" t="s">
        <v>445</v>
      </c>
      <c r="BD49" s="219">
        <v>1.4999999999999999E-2</v>
      </c>
      <c r="BE49" s="219">
        <v>1.6</v>
      </c>
      <c r="BF49" s="219">
        <v>5000</v>
      </c>
      <c r="BG49" s="219">
        <v>0.80910000000000004</v>
      </c>
      <c r="BH49" s="219">
        <v>0.1109</v>
      </c>
      <c r="BI49" s="219">
        <v>0</v>
      </c>
      <c r="BJ49" s="219">
        <v>1.4E-3</v>
      </c>
      <c r="BK49" s="149">
        <f t="shared" si="7"/>
        <v>1.605289E-2</v>
      </c>
      <c r="BL49" s="219">
        <v>0.12670000000000001</v>
      </c>
      <c r="BM49" s="183" t="s">
        <v>544</v>
      </c>
    </row>
    <row r="50" spans="2:65">
      <c r="B50" s="144" t="str">
        <f>Implements712[[#This Row],[Implement type]]&amp;", "&amp;Implements712[[#This Row],[Width]]&amp;" "&amp;Implements712[[#This Row],[Width Unit]]&amp; ", per "&amp;Implements712[[#This Row],[Use basis]]</f>
        <v>Combine chopping corn hd, 20 Ft, per acre</v>
      </c>
      <c r="C50" s="238" t="s">
        <v>427</v>
      </c>
      <c r="D50" s="171">
        <v>20</v>
      </c>
      <c r="E50" s="238" t="s">
        <v>402</v>
      </c>
      <c r="F50" s="171">
        <v>8</v>
      </c>
      <c r="G50" s="238" t="s">
        <v>416</v>
      </c>
      <c r="H50" s="227">
        <v>108000</v>
      </c>
      <c r="I50" s="228">
        <v>0.2</v>
      </c>
      <c r="J50" s="174">
        <f t="shared" si="5"/>
        <v>135000</v>
      </c>
      <c r="K50" s="198">
        <f>VLOOKUP(Implements712[[#This Row],[ASABEtype]],ASABECoefficients813[],4,FALSE)/Implements712[[#This Row],[Use (hr/yr)]]</f>
        <v>20</v>
      </c>
      <c r="L50" s="171">
        <v>150</v>
      </c>
      <c r="M50" s="176">
        <f>IF(Implements712[[#This Row],[Use basis]]="hour",,L50*(D50*P50*Q50)/8.25)</f>
        <v>1227.2727272727273</v>
      </c>
      <c r="N50" s="177" t="s">
        <v>654</v>
      </c>
      <c r="O50" s="171" t="s">
        <v>425</v>
      </c>
      <c r="P50" s="171">
        <v>4.5</v>
      </c>
      <c r="Q50" s="228">
        <v>0.75</v>
      </c>
      <c r="R50" s="228">
        <v>1.1499999999999999</v>
      </c>
      <c r="S50" s="171">
        <v>160</v>
      </c>
      <c r="T50"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7.0827473143356634E-2</v>
      </c>
      <c r="U50" s="179">
        <f>Implements712[[#This Row],[TradeIn%]]*Implements712[[#This Row],[PriceL]]</f>
        <v>9561.7088743531458</v>
      </c>
      <c r="V50" s="180">
        <f>(Implements712[[#This Row],[PriceP]]-Implements712[[#This Row],[TradeIn$]])/Implements712[[#This Row],[Life (yr)]]/Implements712[[#This Row],[Use (hr/yr)]]</f>
        <v>32.81276370854895</v>
      </c>
      <c r="W50" s="180">
        <f>((Implements712[[#This Row],[PriceP]]+Implements712[[#This Row],[TradeIn$]])/2*($BP$7+$BP$8+$BP$9)+Implements712[[#This Row],[Shed (ft^2)]]*$BP$12)/Implements712[[#This Row],[Use (hr/yr)]]</f>
        <v>34.554356543981235</v>
      </c>
      <c r="X50" s="180">
        <f>Implements712[[#This Row],[PriceL]]*(VLOOKUP(Implements712[[#This Row],[ASABEtype]],$BC$6:$BM$52,2)*(Implements712[[#This Row],[Life (yr)]]*Implements712[[#This Row],[Use (hr/yr)]]/1000)^VLOOKUP(Implements712[[#This Row],[ASABEtype]],$BC$6:$BM$52,3))/Implements712[[#This Row],[Life (yr)]]/Implements712[[#This Row],[Use (hr/yr)]]</f>
        <v>18.08119541934926</v>
      </c>
      <c r="Y50" s="180">
        <f>Implements712[[#This Row],[Depr ($/hr)]]+Implements712[[#This Row],[OH ($/hr)]]</f>
        <v>67.367120252530185</v>
      </c>
      <c r="Z50" s="180">
        <f>(Implements712[[#This Row],[PriceP]]-Implements712[[#This Row],[TradeIn$]])/Implements712[[#This Row],[Life (yr)]]/Implements712[[#This Row],[Use (ac/yr)]]</f>
        <v>4.0104488977115382</v>
      </c>
      <c r="AA50" s="201">
        <f>((Implements712[[#This Row],[PriceP]]+Implements712[[#This Row],[TradeIn$]])/2*($BP$7+$BP$8+$BP$9)+Implements712[[#This Row],[Shed (ft^2)]]*$BP$12)/Implements712[[#This Row],[Use (ac/yr)]]</f>
        <v>4.2233102442643737</v>
      </c>
      <c r="AB50"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2.2099238845871318</v>
      </c>
      <c r="AC50" s="182">
        <f>IF(Implements712[[#This Row],[Use basis]]="hour","-",$BP$18/(Implements712[[#This Row],[Width]]*Implements712[[#This Row],[Speed]]*Implements712[[#This Row],[Efficiency]]))</f>
        <v>0.12222222222222222</v>
      </c>
      <c r="AD50" s="163">
        <f>IF(Implements712[[#This Row],[Use basis]]=$N$128,Implements712[[#This Row],[Ownership costs ($/hr)]],SUM(Implements712[[#This Row],[Depr ($/ac)2]:[OH ($/ac)]]))</f>
        <v>8.2337591419759129</v>
      </c>
      <c r="AE50" s="240">
        <v>48</v>
      </c>
      <c r="AF50" s="144" t="s">
        <v>426</v>
      </c>
      <c r="AG50" s="163"/>
      <c r="BC50" s="152" t="s">
        <v>485</v>
      </c>
      <c r="BD50" s="219">
        <v>7.0000000000000001E-3</v>
      </c>
      <c r="BE50" s="219">
        <v>2</v>
      </c>
      <c r="BF50" s="219">
        <v>8000</v>
      </c>
      <c r="BG50" s="219">
        <v>0.84930000000000005</v>
      </c>
      <c r="BH50" s="219">
        <v>9.6600000000000005E-2</v>
      </c>
      <c r="BI50" s="219">
        <v>5.8999999999999999E-3</v>
      </c>
      <c r="BJ50" s="219">
        <v>3.8E-3</v>
      </c>
      <c r="BK50" s="149">
        <f t="shared" si="7"/>
        <v>1.1278440000000001E-2</v>
      </c>
      <c r="BL50" s="219">
        <v>0.1062</v>
      </c>
      <c r="BM50" s="183"/>
    </row>
    <row r="51" spans="2:65">
      <c r="B51" s="144" t="str">
        <f>Implements712[[#This Row],[Implement type]]&amp;", "&amp;Implements712[[#This Row],[Width]]&amp;" "&amp;Implements712[[#This Row],[Width Unit]]&amp; ", per "&amp;Implements712[[#This Row],[Use basis]]</f>
        <v>Combine chopping corn hd, 30 Ft, per acre</v>
      </c>
      <c r="C51" s="238" t="s">
        <v>427</v>
      </c>
      <c r="D51" s="171">
        <v>30</v>
      </c>
      <c r="E51" s="238" t="s">
        <v>402</v>
      </c>
      <c r="F51" s="171">
        <v>12</v>
      </c>
      <c r="G51" s="238" t="s">
        <v>416</v>
      </c>
      <c r="H51" s="227">
        <v>154000</v>
      </c>
      <c r="I51" s="228">
        <v>0.2</v>
      </c>
      <c r="J51" s="174">
        <f t="shared" si="5"/>
        <v>192500</v>
      </c>
      <c r="K51" s="198">
        <f>VLOOKUP(Implements712[[#This Row],[ASABEtype]],ASABECoefficients813[],4,FALSE)/Implements712[[#This Row],[Use (hr/yr)]]</f>
        <v>20</v>
      </c>
      <c r="L51" s="171">
        <v>150</v>
      </c>
      <c r="M51" s="176">
        <f>IF(Implements712[[#This Row],[Use basis]]="hour",,L51*(D51*P51*Q51)/8.25)</f>
        <v>1840.909090909091</v>
      </c>
      <c r="N51" s="177" t="s">
        <v>654</v>
      </c>
      <c r="O51" s="171" t="s">
        <v>425</v>
      </c>
      <c r="P51" s="171">
        <v>4.5</v>
      </c>
      <c r="Q51" s="228">
        <v>0.75</v>
      </c>
      <c r="R51" s="228">
        <v>1.1499999999999999</v>
      </c>
      <c r="S51" s="171">
        <v>160</v>
      </c>
      <c r="T51"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7.0827473143356634E-2</v>
      </c>
      <c r="U51" s="179">
        <f>Implements712[[#This Row],[TradeIn%]]*Implements712[[#This Row],[PriceL]]</f>
        <v>13634.288580096152</v>
      </c>
      <c r="V51" s="180">
        <f>(Implements712[[#This Row],[PriceP]]-Implements712[[#This Row],[TradeIn$]])/Implements712[[#This Row],[Life (yr)]]/Implements712[[#This Row],[Use (hr/yr)]]</f>
        <v>46.788570473301284</v>
      </c>
      <c r="W51" s="180">
        <f>((Implements712[[#This Row],[PriceP]]+Implements712[[#This Row],[TradeIn$]])/2*($BP$7+$BP$8+$BP$9)+Implements712[[#This Row],[Shed (ft^2)]]*$BP$12)/Implements712[[#This Row],[Use (hr/yr)]]</f>
        <v>48.908496059627559</v>
      </c>
      <c r="X51" s="180">
        <f>Implements712[[#This Row],[PriceL]]*(VLOOKUP(Implements712[[#This Row],[ASABEtype]],$BC$6:$BM$52,2)*(Implements712[[#This Row],[Life (yr)]]*Implements712[[#This Row],[Use (hr/yr)]]/1000)^VLOOKUP(Implements712[[#This Row],[ASABEtype]],$BC$6:$BM$52,3))/Implements712[[#This Row],[Life (yr)]]/Implements712[[#This Row],[Use (hr/yr)]]</f>
        <v>25.782445320183204</v>
      </c>
      <c r="Y51" s="180">
        <f>Implements712[[#This Row],[Depr ($/hr)]]+Implements712[[#This Row],[OH ($/hr)]]</f>
        <v>95.697066532928844</v>
      </c>
      <c r="Z51" s="180">
        <f>(Implements712[[#This Row],[PriceP]]-Implements712[[#This Row],[TradeIn$]])/Implements712[[#This Row],[Life (yr)]]/Implements712[[#This Row],[Use (ac/yr)]]</f>
        <v>3.8124020385652897</v>
      </c>
      <c r="AA51" s="201">
        <f>((Implements712[[#This Row],[PriceP]]+Implements712[[#This Row],[TradeIn$]])/2*($BP$7+$BP$8+$BP$9)+Implements712[[#This Row],[Shed (ft^2)]]*$BP$12)/Implements712[[#This Row],[Use (ac/yr)]]</f>
        <v>3.9851367159696527</v>
      </c>
      <c r="AB51"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2.1007918409038164</v>
      </c>
      <c r="AC51" s="182">
        <f>IF(Implements712[[#This Row],[Use basis]]="hour","-",$BP$18/(Implements712[[#This Row],[Width]]*Implements712[[#This Row],[Speed]]*Implements712[[#This Row],[Efficiency]]))</f>
        <v>8.1481481481481488E-2</v>
      </c>
      <c r="AD51" s="163">
        <f>IF(Implements712[[#This Row],[Use basis]]=$N$128,Implements712[[#This Row],[Ownership costs ($/hr)]],SUM(Implements712[[#This Row],[Depr ($/ac)2]:[OH ($/ac)]]))</f>
        <v>7.7975387545349424</v>
      </c>
      <c r="AE51" s="240">
        <v>52</v>
      </c>
      <c r="AF51" s="144" t="s">
        <v>426</v>
      </c>
      <c r="AG51" s="163"/>
      <c r="BC51" s="152" t="s">
        <v>431</v>
      </c>
      <c r="BD51" s="219">
        <v>0.19</v>
      </c>
      <c r="BE51" s="219">
        <v>1.3</v>
      </c>
      <c r="BF51" s="219">
        <v>3000</v>
      </c>
      <c r="BG51" s="219">
        <v>0.80910000000000004</v>
      </c>
      <c r="BH51" s="219">
        <v>0.1109</v>
      </c>
      <c r="BI51" s="219">
        <v>0</v>
      </c>
      <c r="BJ51" s="219">
        <v>1.4E-3</v>
      </c>
      <c r="BK51" s="149">
        <f t="shared" si="7"/>
        <v>1.605289E-2</v>
      </c>
      <c r="BL51" s="219">
        <v>0.12670000000000001</v>
      </c>
      <c r="BM51" s="183"/>
    </row>
    <row r="52" spans="2:65">
      <c r="B52" s="144" t="str">
        <f>Implements712[[#This Row],[Implement type]]&amp;", "&amp;Implements712[[#This Row],[Width]]&amp;" "&amp;Implements712[[#This Row],[Width Unit]]&amp; ", per "&amp;Implements712[[#This Row],[Use basis]]</f>
        <v>Combine chopping corn hd, 40 Ft, per acre</v>
      </c>
      <c r="C52" s="238" t="s">
        <v>427</v>
      </c>
      <c r="D52" s="171">
        <v>40</v>
      </c>
      <c r="E52" s="238" t="s">
        <v>402</v>
      </c>
      <c r="F52" s="171">
        <v>16</v>
      </c>
      <c r="G52" s="238" t="s">
        <v>416</v>
      </c>
      <c r="H52" s="227">
        <v>210000</v>
      </c>
      <c r="I52" s="228">
        <v>0.2</v>
      </c>
      <c r="J52" s="174">
        <f t="shared" si="5"/>
        <v>262500</v>
      </c>
      <c r="K52" s="198">
        <f>VLOOKUP(Implements712[[#This Row],[ASABEtype]],ASABECoefficients813[],4,FALSE)/Implements712[[#This Row],[Use (hr/yr)]]</f>
        <v>20</v>
      </c>
      <c r="L52" s="171">
        <v>150</v>
      </c>
      <c r="M52" s="176">
        <f>IF(Implements712[[#This Row],[Use basis]]="hour",,L52*(D52*P52*Q52)/8.25)</f>
        <v>2454.5454545454545</v>
      </c>
      <c r="N52" s="177" t="s">
        <v>654</v>
      </c>
      <c r="O52" s="171" t="s">
        <v>425</v>
      </c>
      <c r="P52" s="171">
        <v>4.5</v>
      </c>
      <c r="Q52" s="228">
        <v>0.75</v>
      </c>
      <c r="R52" s="228">
        <v>1.1499999999999999</v>
      </c>
      <c r="S52" s="171">
        <v>160</v>
      </c>
      <c r="T52"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7.0827473143356634E-2</v>
      </c>
      <c r="U52" s="179">
        <f>Implements712[[#This Row],[TradeIn%]]*Implements712[[#This Row],[PriceL]]</f>
        <v>18592.211700131116</v>
      </c>
      <c r="V52" s="180">
        <f>(Implements712[[#This Row],[PriceP]]-Implements712[[#This Row],[TradeIn$]])/Implements712[[#This Row],[Life (yr)]]/Implements712[[#This Row],[Use (hr/yr)]]</f>
        <v>63.802596099956297</v>
      </c>
      <c r="W52" s="180">
        <f>((Implements712[[#This Row],[PriceP]]+Implements712[[#This Row],[TradeIn$]])/2*($BP$7+$BP$8+$BP$9)+Implements712[[#This Row],[Shed (ft^2)]]*$BP$12)/Implements712[[#This Row],[Use (hr/yr)]]</f>
        <v>66.383100687370927</v>
      </c>
      <c r="X52" s="180">
        <f>Implements712[[#This Row],[PriceL]]*(VLOOKUP(Implements712[[#This Row],[ASABEtype]],$BC$6:$BM$52,2)*(Implements712[[#This Row],[Life (yr)]]*Implements712[[#This Row],[Use (hr/yr)]]/1000)^VLOOKUP(Implements712[[#This Row],[ASABEtype]],$BC$6:$BM$52,3))/Implements712[[#This Row],[Life (yr)]]/Implements712[[#This Row],[Use (hr/yr)]]</f>
        <v>35.15787998206801</v>
      </c>
      <c r="Y52" s="180">
        <f>Implements712[[#This Row],[Depr ($/hr)]]+Implements712[[#This Row],[OH ($/hr)]]</f>
        <v>130.18569678732723</v>
      </c>
      <c r="Z52" s="180">
        <f>(Implements712[[#This Row],[PriceP]]-Implements712[[#This Row],[TradeIn$]])/Implements712[[#This Row],[Life (yr)]]/Implements712[[#This Row],[Use (ac/yr)]]</f>
        <v>3.8990475394417734</v>
      </c>
      <c r="AA52" s="201">
        <f>((Implements712[[#This Row],[PriceP]]+Implements712[[#This Row],[TradeIn$]])/2*($BP$7+$BP$8+$BP$9)+Implements712[[#This Row],[Shed (ft^2)]]*$BP$12)/Implements712[[#This Row],[Use (ac/yr)]]</f>
        <v>4.0567450420060007</v>
      </c>
      <c r="AB52"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2.1485371100152673</v>
      </c>
      <c r="AC52" s="182">
        <f>IF(Implements712[[#This Row],[Use basis]]="hour","-",$BP$18/(Implements712[[#This Row],[Width]]*Implements712[[#This Row],[Speed]]*Implements712[[#This Row],[Efficiency]]))</f>
        <v>6.1111111111111109E-2</v>
      </c>
      <c r="AD52" s="163">
        <f>IF(Implements712[[#This Row],[Use basis]]=$N$128,Implements712[[#This Row],[Ownership costs ($/hr)]],SUM(Implements712[[#This Row],[Depr ($/ac)2]:[OH ($/ac)]]))</f>
        <v>7.9557925814477741</v>
      </c>
      <c r="AE52" s="240">
        <v>51</v>
      </c>
      <c r="AF52" s="144" t="s">
        <v>426</v>
      </c>
      <c r="AG52" s="163"/>
      <c r="BC52" s="152" t="s">
        <v>439</v>
      </c>
      <c r="BD52" s="219">
        <v>0.06</v>
      </c>
      <c r="BE52" s="219">
        <v>2</v>
      </c>
      <c r="BF52" s="219">
        <v>3000</v>
      </c>
      <c r="BG52" s="219">
        <v>0.72430000000000005</v>
      </c>
      <c r="BH52" s="219">
        <v>0.11269999999999999</v>
      </c>
      <c r="BI52" s="219">
        <v>0</v>
      </c>
      <c r="BJ52" s="219">
        <v>3.3999999999999998E-3</v>
      </c>
      <c r="BK52" s="149">
        <f t="shared" si="7"/>
        <v>1.4113440000000001E-2</v>
      </c>
      <c r="BL52" s="219">
        <v>0.1188</v>
      </c>
      <c r="BM52" s="183"/>
    </row>
    <row r="53" spans="2:65">
      <c r="B53" s="144" t="str">
        <f>Implements712[[#This Row],[Implement type]]&amp;", "&amp;Implements712[[#This Row],[Width]]&amp;" "&amp;Implements712[[#This Row],[Width Unit]]&amp; ", per "&amp;Implements712[[#This Row],[Use basis]]</f>
        <v>Combine corn hd, 15 Ft, per acre</v>
      </c>
      <c r="C53" s="238" t="s">
        <v>429</v>
      </c>
      <c r="D53" s="171">
        <v>15</v>
      </c>
      <c r="E53" s="238" t="s">
        <v>402</v>
      </c>
      <c r="F53" s="171">
        <v>6</v>
      </c>
      <c r="G53" s="238" t="s">
        <v>416</v>
      </c>
      <c r="H53" s="227">
        <v>61000</v>
      </c>
      <c r="I53" s="228">
        <v>0.2</v>
      </c>
      <c r="J53" s="174">
        <f t="shared" si="5"/>
        <v>76250</v>
      </c>
      <c r="K53" s="198">
        <f>VLOOKUP(Implements712[[#This Row],[ASABEtype]],ASABECoefficients813[],4,FALSE)/Implements712[[#This Row],[Use (hr/yr)]]</f>
        <v>20</v>
      </c>
      <c r="L53" s="171">
        <v>150</v>
      </c>
      <c r="M53" s="176">
        <f>IF(Implements712[[#This Row],[Use basis]]="hour",,L53*(D53*P53*Q53)/8.25)</f>
        <v>920.4545454545455</v>
      </c>
      <c r="N53" s="177" t="s">
        <v>654</v>
      </c>
      <c r="O53" s="171" t="s">
        <v>425</v>
      </c>
      <c r="P53" s="171">
        <v>4.5</v>
      </c>
      <c r="Q53" s="228">
        <v>0.75</v>
      </c>
      <c r="R53" s="228">
        <v>1.1499999999999999</v>
      </c>
      <c r="S53" s="171">
        <v>120</v>
      </c>
      <c r="T53"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7.0827473143356634E-2</v>
      </c>
      <c r="U53" s="179">
        <f>Implements712[[#This Row],[TradeIn%]]*Implements712[[#This Row],[PriceL]]</f>
        <v>5400.594827180943</v>
      </c>
      <c r="V53" s="180">
        <f>(Implements712[[#This Row],[PriceP]]-Implements712[[#This Row],[TradeIn$]])/Implements712[[#This Row],[Life (yr)]]/Implements712[[#This Row],[Use (hr/yr)]]</f>
        <v>18.533135057606351</v>
      </c>
      <c r="W53" s="180">
        <f>((Implements712[[#This Row],[PriceP]]+Implements712[[#This Row],[TradeIn$]])/2*($BP$7+$BP$8+$BP$9)+Implements712[[#This Row],[Shed (ft^2)]]*$BP$12)/Implements712[[#This Row],[Use (hr/yr)]]</f>
        <v>19.674837183791869</v>
      </c>
      <c r="X53" s="180">
        <f>Implements712[[#This Row],[PriceL]]*(VLOOKUP(Implements712[[#This Row],[ASABEtype]],$BC$6:$BM$52,2)*(Implements712[[#This Row],[Life (yr)]]*Implements712[[#This Row],[Use (hr/yr)]]/1000)^VLOOKUP(Implements712[[#This Row],[ASABEtype]],$BC$6:$BM$52,3))/Implements712[[#This Row],[Life (yr)]]/Implements712[[#This Row],[Use (hr/yr)]]</f>
        <v>10.21252704241023</v>
      </c>
      <c r="Y53" s="180">
        <f>Implements712[[#This Row],[Depr ($/hr)]]+Implements712[[#This Row],[OH ($/hr)]]</f>
        <v>38.207972241398224</v>
      </c>
      <c r="Z53" s="180">
        <f>(Implements712[[#This Row],[PriceP]]-Implements712[[#This Row],[TradeIn$]])/Implements712[[#This Row],[Life (yr)]]/Implements712[[#This Row],[Use (ac/yr)]]</f>
        <v>3.0202146019802942</v>
      </c>
      <c r="AA53" s="201">
        <f>((Implements712[[#This Row],[PriceP]]+Implements712[[#This Row],[TradeIn$]])/2*($BP$7+$BP$8+$BP$9)+Implements712[[#This Row],[Shed (ft^2)]]*$BP$12)/Implements712[[#This Row],[Use (ac/yr)]]</f>
        <v>3.2062697632846007</v>
      </c>
      <c r="AB53"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1.6642636661705559</v>
      </c>
      <c r="AC53" s="182">
        <f>IF(Implements712[[#This Row],[Use basis]]="hour","-",$BP$18/(Implements712[[#This Row],[Width]]*Implements712[[#This Row],[Speed]]*Implements712[[#This Row],[Efficiency]]))</f>
        <v>0.16296296296296298</v>
      </c>
      <c r="AD53" s="163">
        <f>IF(Implements712[[#This Row],[Use basis]]=$N$128,Implements712[[#This Row],[Ownership costs ($/hr)]],SUM(Implements712[[#This Row],[Depr ($/ac)2]:[OH ($/ac)]]))</f>
        <v>6.2264843652648949</v>
      </c>
      <c r="AE53" s="240">
        <v>46</v>
      </c>
      <c r="AF53" s="144" t="s">
        <v>426</v>
      </c>
      <c r="AG53" s="163"/>
    </row>
    <row r="54" spans="2:65">
      <c r="B54" s="144" t="str">
        <f>Implements712[[#This Row],[Implement type]]&amp;", "&amp;Implements712[[#This Row],[Width]]&amp;" "&amp;Implements712[[#This Row],[Width Unit]]&amp; ", per "&amp;Implements712[[#This Row],[Use basis]]</f>
        <v>Combine corn hd, 20 Ft, per acre</v>
      </c>
      <c r="C54" s="238" t="s">
        <v>429</v>
      </c>
      <c r="D54" s="171">
        <v>20</v>
      </c>
      <c r="E54" s="238" t="s">
        <v>402</v>
      </c>
      <c r="F54" s="171">
        <v>8</v>
      </c>
      <c r="G54" s="238" t="s">
        <v>416</v>
      </c>
      <c r="H54" s="227">
        <v>78000</v>
      </c>
      <c r="I54" s="228">
        <v>0.2</v>
      </c>
      <c r="J54" s="174">
        <f t="shared" si="5"/>
        <v>97500</v>
      </c>
      <c r="K54" s="198">
        <f>VLOOKUP(Implements712[[#This Row],[ASABEtype]],ASABECoefficients813[],4,FALSE)/Implements712[[#This Row],[Use (hr/yr)]]</f>
        <v>20</v>
      </c>
      <c r="L54" s="171">
        <v>150</v>
      </c>
      <c r="M54" s="176">
        <f>IF(Implements712[[#This Row],[Use basis]]="hour",,L54*(D54*P54*Q54)/8.25)</f>
        <v>1227.2727272727273</v>
      </c>
      <c r="N54" s="177" t="s">
        <v>654</v>
      </c>
      <c r="O54" s="171" t="s">
        <v>425</v>
      </c>
      <c r="P54" s="171">
        <v>4.5</v>
      </c>
      <c r="Q54" s="228">
        <v>0.75</v>
      </c>
      <c r="R54" s="228">
        <v>1.1499999999999999</v>
      </c>
      <c r="S54" s="171">
        <v>160</v>
      </c>
      <c r="T54"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7.0827473143356634E-2</v>
      </c>
      <c r="U54" s="179">
        <f>Implements712[[#This Row],[TradeIn%]]*Implements712[[#This Row],[PriceL]]</f>
        <v>6905.6786314772717</v>
      </c>
      <c r="V54" s="180">
        <f>(Implements712[[#This Row],[PriceP]]-Implements712[[#This Row],[TradeIn$]])/Implements712[[#This Row],[Life (yr)]]/Implements712[[#This Row],[Use (hr/yr)]]</f>
        <v>23.698107122840909</v>
      </c>
      <c r="W54" s="180">
        <f>((Implements712[[#This Row],[PriceP]]+Implements712[[#This Row],[TradeIn$]])/2*($BP$7+$BP$8+$BP$9)+Implements712[[#This Row],[Shed (ft^2)]]*$BP$12)/Implements712[[#This Row],[Use (hr/yr)]]</f>
        <v>25.19296120769015</v>
      </c>
      <c r="X54" s="180">
        <f>Implements712[[#This Row],[PriceL]]*(VLOOKUP(Implements712[[#This Row],[ASABEtype]],$BC$6:$BM$52,2)*(Implements712[[#This Row],[Life (yr)]]*Implements712[[#This Row],[Use (hr/yr)]]/1000)^VLOOKUP(Implements712[[#This Row],[ASABEtype]],$BC$6:$BM$52,3))/Implements712[[#This Row],[Life (yr)]]/Implements712[[#This Row],[Use (hr/yr)]]</f>
        <v>13.058641136196687</v>
      </c>
      <c r="Y54" s="180">
        <f>Implements712[[#This Row],[Depr ($/hr)]]+Implements712[[#This Row],[OH ($/hr)]]</f>
        <v>48.891068330531056</v>
      </c>
      <c r="Z54" s="180">
        <f>(Implements712[[#This Row],[PriceP]]-Implements712[[#This Row],[TradeIn$]])/Implements712[[#This Row],[Life (yr)]]/Implements712[[#This Row],[Use (ac/yr)]]</f>
        <v>2.8964353150138886</v>
      </c>
      <c r="AA54" s="201">
        <f>((Implements712[[#This Row],[PriceP]]+Implements712[[#This Row],[TradeIn$]])/2*($BP$7+$BP$8+$BP$9)+Implements712[[#This Row],[Shed (ft^2)]]*$BP$12)/Implements712[[#This Row],[Use (ac/yr)]]</f>
        <v>3.0791397031621295</v>
      </c>
      <c r="AB54"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1.596056138868484</v>
      </c>
      <c r="AC54" s="182">
        <f>IF(Implements712[[#This Row],[Use basis]]="hour","-",$BP$18/(Implements712[[#This Row],[Width]]*Implements712[[#This Row],[Speed]]*Implements712[[#This Row],[Efficiency]]))</f>
        <v>0.12222222222222222</v>
      </c>
      <c r="AD54" s="163">
        <f>IF(Implements712[[#This Row],[Use basis]]=$N$128,Implements712[[#This Row],[Ownership costs ($/hr)]],SUM(Implements712[[#This Row],[Depr ($/ac)2]:[OH ($/ac)]]))</f>
        <v>5.9755750181760181</v>
      </c>
      <c r="AE54" s="240">
        <v>47</v>
      </c>
      <c r="AF54" s="144" t="s">
        <v>426</v>
      </c>
      <c r="AG54" s="163"/>
    </row>
    <row r="55" spans="2:65">
      <c r="B55" s="144" t="str">
        <f>Implements712[[#This Row],[Implement type]]&amp;", "&amp;Implements712[[#This Row],[Width]]&amp;" "&amp;Implements712[[#This Row],[Width Unit]]&amp; ", per "&amp;Implements712[[#This Row],[Use basis]]</f>
        <v>Combine corn hd, 30 Ft, per acre</v>
      </c>
      <c r="C55" s="238" t="s">
        <v>429</v>
      </c>
      <c r="D55" s="171">
        <v>30</v>
      </c>
      <c r="E55" s="238" t="s">
        <v>402</v>
      </c>
      <c r="F55" s="171">
        <v>12</v>
      </c>
      <c r="G55" s="238" t="s">
        <v>416</v>
      </c>
      <c r="H55" s="227">
        <v>145000</v>
      </c>
      <c r="I55" s="228">
        <v>0.2</v>
      </c>
      <c r="J55" s="174">
        <f t="shared" si="5"/>
        <v>181250</v>
      </c>
      <c r="K55" s="198">
        <f>VLOOKUP(Implements712[[#This Row],[ASABEtype]],ASABECoefficients813[],4,FALSE)/Implements712[[#This Row],[Use (hr/yr)]]</f>
        <v>20</v>
      </c>
      <c r="L55" s="171">
        <v>150</v>
      </c>
      <c r="M55" s="176">
        <f>IF(Implements712[[#This Row],[Use basis]]="hour",,L55*(D55*P55*Q55)/8.25)</f>
        <v>1840.909090909091</v>
      </c>
      <c r="N55" s="177" t="s">
        <v>654</v>
      </c>
      <c r="O55" s="171" t="s">
        <v>425</v>
      </c>
      <c r="P55" s="171">
        <v>4.5</v>
      </c>
      <c r="Q55" s="228">
        <v>0.75</v>
      </c>
      <c r="R55" s="228">
        <v>1.1499999999999999</v>
      </c>
      <c r="S55" s="171">
        <v>160</v>
      </c>
      <c r="T55"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7.0827473143356634E-2</v>
      </c>
      <c r="U55" s="179">
        <f>Implements712[[#This Row],[TradeIn%]]*Implements712[[#This Row],[PriceL]]</f>
        <v>12837.479507233389</v>
      </c>
      <c r="V55" s="180">
        <f>(Implements712[[#This Row],[PriceP]]-Implements712[[#This Row],[TradeIn$]])/Implements712[[#This Row],[Life (yr)]]/Implements712[[#This Row],[Use (hr/yr)]]</f>
        <v>44.054173497588863</v>
      </c>
      <c r="W55" s="180">
        <f>((Implements712[[#This Row],[PriceP]]+Implements712[[#This Row],[TradeIn$]])/2*($BP$7+$BP$8+$BP$9)+Implements712[[#This Row],[Shed (ft^2)]]*$BP$12)/Implements712[[#This Row],[Use (hr/yr)]]</f>
        <v>46.10007745874023</v>
      </c>
      <c r="X55" s="180">
        <f>Implements712[[#This Row],[PriceL]]*(VLOOKUP(Implements712[[#This Row],[ASABEtype]],$BC$6:$BM$52,2)*(Implements712[[#This Row],[Life (yr)]]*Implements712[[#This Row],[Use (hr/yr)]]/1000)^VLOOKUP(Implements712[[#This Row],[ASABEtype]],$BC$6:$BM$52,3))/Implements712[[#This Row],[Life (yr)]]/Implements712[[#This Row],[Use (hr/yr)]]</f>
        <v>24.275679035237431</v>
      </c>
      <c r="Y55" s="180">
        <f>Implements712[[#This Row],[Depr ($/hr)]]+Implements712[[#This Row],[OH ($/hr)]]</f>
        <v>90.154250956329093</v>
      </c>
      <c r="Z55" s="180">
        <f>(Implements712[[#This Row],[PriceP]]-Implements712[[#This Row],[TradeIn$]])/Implements712[[#This Row],[Life (yr)]]/Implements712[[#This Row],[Use (ac/yr)]]</f>
        <v>3.5895993220257592</v>
      </c>
      <c r="AA55" s="201">
        <f>((Implements712[[#This Row],[PriceP]]+Implements712[[#This Row],[TradeIn$]])/2*($BP$7+$BP$8+$BP$9)+Implements712[[#This Row],[Shed (ft^2)]]*$BP$12)/Implements712[[#This Row],[Use (ac/yr)]]</f>
        <v>3.7563026077492041</v>
      </c>
      <c r="AB55"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1.978018291760087</v>
      </c>
      <c r="AC55" s="182">
        <f>IF(Implements712[[#This Row],[Use basis]]="hour","-",$BP$18/(Implements712[[#This Row],[Width]]*Implements712[[#This Row],[Speed]]*Implements712[[#This Row],[Efficiency]]))</f>
        <v>8.1481481481481488E-2</v>
      </c>
      <c r="AD55" s="163">
        <f>IF(Implements712[[#This Row],[Use basis]]=$N$128,Implements712[[#This Row],[Ownership costs ($/hr)]],SUM(Implements712[[#This Row],[Depr ($/ac)2]:[OH ($/ac)]]))</f>
        <v>7.3459019297749633</v>
      </c>
      <c r="AE55" s="240">
        <v>50</v>
      </c>
      <c r="AF55" s="144" t="s">
        <v>426</v>
      </c>
      <c r="AG55" s="163"/>
    </row>
    <row r="56" spans="2:65">
      <c r="B56" s="144" t="str">
        <f>Implements712[[#This Row],[Implement type]]&amp;", "&amp;Implements712[[#This Row],[Width]]&amp;" "&amp;Implements712[[#This Row],[Width Unit]]&amp; ", per "&amp;Implements712[[#This Row],[Use basis]]</f>
        <v>Combine corn hd, 40 Ft, per acre</v>
      </c>
      <c r="C56" s="238" t="s">
        <v>429</v>
      </c>
      <c r="D56" s="171">
        <v>40</v>
      </c>
      <c r="E56" s="238" t="s">
        <v>402</v>
      </c>
      <c r="F56" s="171">
        <v>16</v>
      </c>
      <c r="G56" s="238" t="s">
        <v>416</v>
      </c>
      <c r="H56" s="227">
        <v>205000</v>
      </c>
      <c r="I56" s="228">
        <v>0.2</v>
      </c>
      <c r="J56" s="174">
        <f t="shared" si="5"/>
        <v>256250</v>
      </c>
      <c r="K56" s="198">
        <f>VLOOKUP(Implements712[[#This Row],[ASABEtype]],ASABECoefficients813[],4,FALSE)/Implements712[[#This Row],[Use (hr/yr)]]</f>
        <v>20</v>
      </c>
      <c r="L56" s="171">
        <v>150</v>
      </c>
      <c r="M56" s="176">
        <f>IF(Implements712[[#This Row],[Use basis]]="hour",,L56*(D56*P56*Q56)/8.25)</f>
        <v>2454.5454545454545</v>
      </c>
      <c r="N56" s="177" t="s">
        <v>654</v>
      </c>
      <c r="O56" s="171" t="s">
        <v>425</v>
      </c>
      <c r="P56" s="171">
        <v>4.5</v>
      </c>
      <c r="Q56" s="228">
        <v>0.75</v>
      </c>
      <c r="R56" s="228">
        <v>1.1499999999999999</v>
      </c>
      <c r="S56" s="171">
        <v>160</v>
      </c>
      <c r="T56"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7.0827473143356634E-2</v>
      </c>
      <c r="U56" s="179">
        <f>Implements712[[#This Row],[TradeIn%]]*Implements712[[#This Row],[PriceL]]</f>
        <v>18149.539992985137</v>
      </c>
      <c r="V56" s="180">
        <f>(Implements712[[#This Row],[PriceP]]-Implements712[[#This Row],[TradeIn$]])/Implements712[[#This Row],[Life (yr)]]/Implements712[[#This Row],[Use (hr/yr)]]</f>
        <v>62.283486669004951</v>
      </c>
      <c r="W56" s="180">
        <f>((Implements712[[#This Row],[PriceP]]+Implements712[[#This Row],[TradeIn$]])/2*($BP$7+$BP$8+$BP$9)+Implements712[[#This Row],[Shed (ft^2)]]*$BP$12)/Implements712[[#This Row],[Use (hr/yr)]]</f>
        <v>64.822868131322409</v>
      </c>
      <c r="X56" s="180">
        <f>Implements712[[#This Row],[PriceL]]*(VLOOKUP(Implements712[[#This Row],[ASABEtype]],$BC$6:$BM$52,2)*(Implements712[[#This Row],[Life (yr)]]*Implements712[[#This Row],[Use (hr/yr)]]/1000)^VLOOKUP(Implements712[[#This Row],[ASABEtype]],$BC$6:$BM$52,3))/Implements712[[#This Row],[Life (yr)]]/Implements712[[#This Row],[Use (hr/yr)]]</f>
        <v>34.320787601542577</v>
      </c>
      <c r="Y56" s="180">
        <f>Implements712[[#This Row],[Depr ($/hr)]]+Implements712[[#This Row],[OH ($/hr)]]</f>
        <v>127.10635480032735</v>
      </c>
      <c r="Z56" s="180">
        <f>(Implements712[[#This Row],[PriceP]]-Implements712[[#This Row],[TradeIn$]])/Implements712[[#This Row],[Life (yr)]]/Implements712[[#This Row],[Use (ac/yr)]]</f>
        <v>3.8062130742169691</v>
      </c>
      <c r="AA56" s="201">
        <f>((Implements712[[#This Row],[PriceP]]+Implements712[[#This Row],[TradeIn$]])/2*($BP$7+$BP$8+$BP$9)+Implements712[[#This Row],[Shed (ft^2)]]*$BP$12)/Implements712[[#This Row],[Use (ac/yr)]]</f>
        <v>3.961397496914147</v>
      </c>
      <c r="AB56"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2.0973814645387132</v>
      </c>
      <c r="AC56" s="182">
        <f>IF(Implements712[[#This Row],[Use basis]]="hour","-",$BP$18/(Implements712[[#This Row],[Width]]*Implements712[[#This Row],[Speed]]*Implements712[[#This Row],[Efficiency]]))</f>
        <v>6.1111111111111109E-2</v>
      </c>
      <c r="AD56" s="163">
        <f>IF(Implements712[[#This Row],[Use basis]]=$N$128,Implements712[[#This Row],[Ownership costs ($/hr)]],SUM(Implements712[[#This Row],[Depr ($/ac)2]:[OH ($/ac)]]))</f>
        <v>7.7676105711311161</v>
      </c>
      <c r="AE56" s="240">
        <v>49</v>
      </c>
      <c r="AF56" s="144" t="s">
        <v>426</v>
      </c>
      <c r="AG56" s="163"/>
    </row>
    <row r="57" spans="2:65">
      <c r="B57" s="144" t="str">
        <f>Implements712[[#This Row],[Implement type]]&amp;", "&amp;Implements712[[#This Row],[Width]]&amp;" "&amp;Implements712[[#This Row],[Width Unit]]&amp; ", per "&amp;Implements712[[#This Row],[Use basis]]</f>
        <v>Combine platform, 25 Ft, per acre</v>
      </c>
      <c r="C57" s="238" t="s">
        <v>430</v>
      </c>
      <c r="D57" s="171">
        <v>25</v>
      </c>
      <c r="E57" s="238" t="s">
        <v>402</v>
      </c>
      <c r="F57" s="171"/>
      <c r="G57" s="171"/>
      <c r="H57" s="227">
        <v>51000</v>
      </c>
      <c r="I57" s="228">
        <v>0.2</v>
      </c>
      <c r="J57" s="174">
        <f t="shared" si="5"/>
        <v>63750</v>
      </c>
      <c r="K57" s="198">
        <f>VLOOKUP(Implements712[[#This Row],[ASABEtype]],ASABECoefficients813[],4,FALSE)/Implements712[[#This Row],[Use (hr/yr)]]</f>
        <v>20</v>
      </c>
      <c r="L57" s="171">
        <v>150</v>
      </c>
      <c r="M57" s="176">
        <f>IF(Implements712[[#This Row],[Use basis]]="hour",,L57*(D57*P57*Q57)/8.25)</f>
        <v>1454.5454545454545</v>
      </c>
      <c r="N57" s="177" t="s">
        <v>654</v>
      </c>
      <c r="O57" s="171" t="s">
        <v>425</v>
      </c>
      <c r="P57" s="171">
        <v>4</v>
      </c>
      <c r="Q57" s="228">
        <v>0.8</v>
      </c>
      <c r="R57" s="228">
        <v>1.1499999999999999</v>
      </c>
      <c r="S57" s="171">
        <v>108</v>
      </c>
      <c r="T57"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7.0827473143356634E-2</v>
      </c>
      <c r="U57" s="179">
        <f>Implements712[[#This Row],[TradeIn%]]*Implements712[[#This Row],[PriceL]]</f>
        <v>4515.2514128889852</v>
      </c>
      <c r="V57" s="180">
        <f>(Implements712[[#This Row],[PriceP]]-Implements712[[#This Row],[TradeIn$]])/Implements712[[#This Row],[Life (yr)]]/Implements712[[#This Row],[Use (hr/yr)]]</f>
        <v>15.494916195703668</v>
      </c>
      <c r="W57" s="180">
        <f>((Implements712[[#This Row],[PriceP]]+Implements712[[#This Row],[TradeIn$]])/2*($BP$7+$BP$8+$BP$9)+Implements712[[#This Row],[Shed (ft^2)]]*$BP$12)/Implements712[[#This Row],[Use (hr/yr)]]</f>
        <v>16.490372071694843</v>
      </c>
      <c r="X57" s="180">
        <f>Implements712[[#This Row],[PriceL]]*(VLOOKUP(Implements712[[#This Row],[ASABEtype]],$BC$6:$BM$52,2)*(Implements712[[#This Row],[Life (yr)]]*Implements712[[#This Row],[Use (hr/yr)]]/1000)^VLOOKUP(Implements712[[#This Row],[ASABEtype]],$BC$6:$BM$52,3))/Implements712[[#This Row],[Life (yr)]]/Implements712[[#This Row],[Use (hr/yr)]]</f>
        <v>8.5383422813593732</v>
      </c>
      <c r="Y57" s="180">
        <f>Implements712[[#This Row],[Depr ($/hr)]]+Implements712[[#This Row],[OH ($/hr)]]</f>
        <v>31.985288267398509</v>
      </c>
      <c r="Z57" s="180">
        <f>(Implements712[[#This Row],[PriceP]]-Implements712[[#This Row],[TradeIn$]])/Implements712[[#This Row],[Life (yr)]]/Implements712[[#This Row],[Use (ac/yr)]]</f>
        <v>1.597913232681941</v>
      </c>
      <c r="AA57" s="201">
        <f>((Implements712[[#This Row],[PriceP]]+Implements712[[#This Row],[TradeIn$]])/2*($BP$7+$BP$8+$BP$9)+Implements712[[#This Row],[Shed (ft^2)]]*$BP$12)/Implements712[[#This Row],[Use (ac/yr)]]</f>
        <v>1.7005696198935307</v>
      </c>
      <c r="AB57"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0.8805165477651854</v>
      </c>
      <c r="AC57" s="182">
        <f>IF(Implements712[[#This Row],[Use basis]]="hour","-",$BP$18/(Implements712[[#This Row],[Width]]*Implements712[[#This Row],[Speed]]*Implements712[[#This Row],[Efficiency]]))</f>
        <v>0.10312499999999999</v>
      </c>
      <c r="AD57" s="163">
        <f>IF(Implements712[[#This Row],[Use basis]]=$N$128,Implements712[[#This Row],[Ownership costs ($/hr)]],SUM(Implements712[[#This Row],[Depr ($/ac)2]:[OH ($/ac)]]))</f>
        <v>3.2984828525754715</v>
      </c>
      <c r="AE57" s="240">
        <v>43</v>
      </c>
      <c r="AF57" s="144" t="s">
        <v>426</v>
      </c>
      <c r="AG57" s="163"/>
    </row>
    <row r="58" spans="2:65">
      <c r="B58" s="144" t="str">
        <f>Implements712[[#This Row],[Implement type]]&amp;", "&amp;Implements712[[#This Row],[Width]]&amp;" "&amp;Implements712[[#This Row],[Width Unit]]&amp; ", per "&amp;Implements712[[#This Row],[Use basis]]</f>
        <v>Draper platform, 35 Ft, per acre</v>
      </c>
      <c r="C58" s="238" t="s">
        <v>750</v>
      </c>
      <c r="D58" s="171">
        <v>35</v>
      </c>
      <c r="E58" s="238" t="s">
        <v>402</v>
      </c>
      <c r="F58" s="171"/>
      <c r="G58" s="171"/>
      <c r="H58" s="227">
        <v>107000</v>
      </c>
      <c r="I58" s="228">
        <v>0.1</v>
      </c>
      <c r="J58" s="174">
        <f t="shared" si="5"/>
        <v>118888.88888888889</v>
      </c>
      <c r="K58" s="198">
        <f>VLOOKUP(Implements712[[#This Row],[ASABEtype]],ASABECoefficients813[],4,FALSE)/Implements712[[#This Row],[Use (hr/yr)]]</f>
        <v>20</v>
      </c>
      <c r="L58" s="171">
        <v>150</v>
      </c>
      <c r="M58" s="176">
        <f>IF(Implements712[[#This Row],[Use basis]]="hour",,L58*(D58*P58*Q58)/8.25)</f>
        <v>2036.3636363636363</v>
      </c>
      <c r="N58" s="177" t="s">
        <v>654</v>
      </c>
      <c r="O58" s="171" t="s">
        <v>425</v>
      </c>
      <c r="P58" s="171">
        <v>4</v>
      </c>
      <c r="Q58" s="228">
        <v>0.8</v>
      </c>
      <c r="R58" s="228">
        <v>1.1499999999999999</v>
      </c>
      <c r="S58" s="171">
        <v>108</v>
      </c>
      <c r="T58"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7.0827473143356634E-2</v>
      </c>
      <c r="U58" s="179">
        <f>Implements712[[#This Row],[TradeIn%]]*Implements712[[#This Row],[PriceL]]</f>
        <v>8420.5995848212897</v>
      </c>
      <c r="V58" s="180">
        <f>(Implements712[[#This Row],[PriceP]]-Implements712[[#This Row],[TradeIn$]])/Implements712[[#This Row],[Life (yr)]]/Implements712[[#This Row],[Use (hr/yr)]]</f>
        <v>32.859800138392906</v>
      </c>
      <c r="W58" s="180">
        <f>((Implements712[[#This Row],[PriceP]]+Implements712[[#This Row],[TradeIn$]])/2*($BP$7+$BP$8+$BP$9)+Implements712[[#This Row],[Shed (ft^2)]]*$BP$12)/Implements712[[#This Row],[Use (hr/yr)]]</f>
        <v>33.663238547648767</v>
      </c>
      <c r="X58" s="180">
        <f>Implements712[[#This Row],[PriceL]]*(VLOOKUP(Implements712[[#This Row],[ASABEtype]],$BC$6:$BM$52,2)*(Implements712[[#This Row],[Life (yr)]]*Implements712[[#This Row],[Use (hr/yr)]]/1000)^VLOOKUP(Implements712[[#This Row],[ASABEtype]],$BC$6:$BM$52,3))/Implements712[[#This Row],[Life (yr)]]/Implements712[[#This Row],[Use (hr/yr)]]</f>
        <v>15.92335728288371</v>
      </c>
      <c r="Y58" s="180">
        <f>Implements712[[#This Row],[Depr ($/hr)]]+Implements712[[#This Row],[OH ($/hr)]]</f>
        <v>66.523038686041673</v>
      </c>
      <c r="Z58" s="180">
        <f>(Implements712[[#This Row],[PriceP]]-Implements712[[#This Row],[TradeIn$]])/Implements712[[#This Row],[Life (yr)]]/Implements712[[#This Row],[Use (ac/yr)]]</f>
        <v>2.4204763494798347</v>
      </c>
      <c r="AA58" s="201">
        <f>((Implements712[[#This Row],[PriceP]]+Implements712[[#This Row],[TradeIn$]])/2*($BP$7+$BP$8+$BP$9)+Implements712[[#This Row],[Shed (ft^2)]]*$BP$12)/Implements712[[#This Row],[Use (ac/yr)]]</f>
        <v>2.4796581965901994</v>
      </c>
      <c r="AB58"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1.1729258712838448</v>
      </c>
      <c r="AC58" s="182">
        <f>IF(Implements712[[#This Row],[Use basis]]="hour","-",$BP$18/(Implements712[[#This Row],[Width]]*Implements712[[#This Row],[Speed]]*Implements712[[#This Row],[Efficiency]]))</f>
        <v>7.3660714285714288E-2</v>
      </c>
      <c r="AD58" s="163">
        <f>IF(Implements712[[#This Row],[Use basis]]=$N$128,Implements712[[#This Row],[Ownership costs ($/hr)]],SUM(Implements712[[#This Row],[Depr ($/ac)2]:[OH ($/ac)]]))</f>
        <v>4.9001345460700341</v>
      </c>
      <c r="AE58" s="240">
        <v>44</v>
      </c>
      <c r="AF58" s="144" t="s">
        <v>426</v>
      </c>
      <c r="AG58" s="163"/>
    </row>
    <row r="59" spans="2:65">
      <c r="B59" s="144" t="str">
        <f>Implements712[[#This Row],[Implement type]]&amp;", "&amp;Implements712[[#This Row],[Width]]&amp;" "&amp;Implements712[[#This Row],[Width Unit]]&amp; ", per "&amp;Implements712[[#This Row],[Use basis]]</f>
        <v>Draper platform, 45 Ft, per acre</v>
      </c>
      <c r="C59" s="238" t="s">
        <v>750</v>
      </c>
      <c r="D59" s="171">
        <v>45</v>
      </c>
      <c r="E59" s="238" t="s">
        <v>402</v>
      </c>
      <c r="F59" s="171"/>
      <c r="G59" s="171"/>
      <c r="H59" s="227">
        <v>122000</v>
      </c>
      <c r="I59" s="228">
        <v>0.1</v>
      </c>
      <c r="J59" s="174">
        <f t="shared" si="5"/>
        <v>135555.55555555556</v>
      </c>
      <c r="K59" s="198">
        <f>VLOOKUP(Implements712[[#This Row],[ASABEtype]],ASABECoefficients813[],4,FALSE)/Implements712[[#This Row],[Use (hr/yr)]]</f>
        <v>20</v>
      </c>
      <c r="L59" s="171">
        <v>150</v>
      </c>
      <c r="M59" s="176">
        <f>IF(Implements712[[#This Row],[Use basis]]="hour",,L59*(D59*P59*Q59)/8.25)</f>
        <v>2618.181818181818</v>
      </c>
      <c r="N59" s="177" t="s">
        <v>654</v>
      </c>
      <c r="O59" s="171" t="s">
        <v>425</v>
      </c>
      <c r="P59" s="171">
        <v>4</v>
      </c>
      <c r="Q59" s="228">
        <v>0.8</v>
      </c>
      <c r="R59" s="228">
        <v>1.1499999999999999</v>
      </c>
      <c r="S59" s="171">
        <v>108</v>
      </c>
      <c r="T59"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7.0827473143356634E-2</v>
      </c>
      <c r="U59" s="179">
        <f>Implements712[[#This Row],[TradeIn%]]*Implements712[[#This Row],[PriceL]]</f>
        <v>9601.0574705438994</v>
      </c>
      <c r="V59" s="180">
        <f>(Implements712[[#This Row],[PriceP]]-Implements712[[#This Row],[TradeIn$]])/Implements712[[#This Row],[Life (yr)]]/Implements712[[#This Row],[Use (hr/yr)]]</f>
        <v>37.466314176485369</v>
      </c>
      <c r="W59" s="180">
        <f>((Implements712[[#This Row],[PriceP]]+Implements712[[#This Row],[TradeIn$]])/2*($BP$7+$BP$8+$BP$9)+Implements712[[#This Row],[Shed (ft^2)]]*$BP$12)/Implements712[[#This Row],[Use (hr/yr)]]</f>
        <v>38.301636474889243</v>
      </c>
      <c r="X59" s="180">
        <f>Implements712[[#This Row],[PriceL]]*(VLOOKUP(Implements712[[#This Row],[ASABEtype]],$BC$6:$BM$52,2)*(Implements712[[#This Row],[Life (yr)]]*Implements712[[#This Row],[Use (hr/yr)]]/1000)^VLOOKUP(Implements712[[#This Row],[ASABEtype]],$BC$6:$BM$52,3))/Implements712[[#This Row],[Life (yr)]]/Implements712[[#This Row],[Use (hr/yr)]]</f>
        <v>18.155603630951521</v>
      </c>
      <c r="Y59" s="180">
        <f>Implements712[[#This Row],[Depr ($/hr)]]+Implements712[[#This Row],[OH ($/hr)]]</f>
        <v>75.767950651374605</v>
      </c>
      <c r="Z59" s="180">
        <f>(Implements712[[#This Row],[PriceP]]-Implements712[[#This Row],[TradeIn$]])/Implements712[[#This Row],[Life (yr)]]/Implements712[[#This Row],[Use (ac/yr)]]</f>
        <v>2.1465075830278075</v>
      </c>
      <c r="AA59" s="201">
        <f>((Implements712[[#This Row],[PriceP]]+Implements712[[#This Row],[TradeIn$]])/2*($BP$7+$BP$8+$BP$9)+Implements712[[#This Row],[Shed (ft^2)]]*$BP$12)/Implements712[[#This Row],[Use (ac/yr)]]</f>
        <v>2.1943645897071962</v>
      </c>
      <c r="AB59"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1.0401647913565977</v>
      </c>
      <c r="AC59" s="182">
        <f>IF(Implements712[[#This Row],[Use basis]]="hour","-",$BP$18/(Implements712[[#This Row],[Width]]*Implements712[[#This Row],[Speed]]*Implements712[[#This Row],[Efficiency]]))</f>
        <v>5.7291666666666664E-2</v>
      </c>
      <c r="AD59" s="163">
        <f>IF(Implements712[[#This Row],[Use basis]]=$N$128,Implements712[[#This Row],[Ownership costs ($/hr)]],SUM(Implements712[[#This Row],[Depr ($/ac)2]:[OH ($/ac)]]))</f>
        <v>4.3408721727350041</v>
      </c>
      <c r="AE59" s="240">
        <v>45</v>
      </c>
      <c r="AF59" s="144" t="s">
        <v>426</v>
      </c>
      <c r="AG59" s="163"/>
    </row>
    <row r="60" spans="2:65">
      <c r="B60" s="144" t="str">
        <f>Implements712[[#This Row],[Implement type]]&amp;", "&amp;Implements712[[#This Row],[Width]]&amp;" "&amp;Implements712[[#This Row],[Width Unit]]&amp; ", per "&amp;Implements712[[#This Row],[Use basis]]</f>
        <v>Grain cart, 1000 Bushel , per hour</v>
      </c>
      <c r="C60" s="238" t="s">
        <v>664</v>
      </c>
      <c r="D60" s="171">
        <v>1000</v>
      </c>
      <c r="E60" s="238" t="s">
        <v>844</v>
      </c>
      <c r="F60" s="171">
        <v>1000</v>
      </c>
      <c r="G60" s="238" t="s">
        <v>827</v>
      </c>
      <c r="H60" s="227">
        <v>99000</v>
      </c>
      <c r="I60" s="228">
        <v>0.1</v>
      </c>
      <c r="J60" s="174">
        <f t="shared" si="5"/>
        <v>110000</v>
      </c>
      <c r="K60" s="198">
        <f>VLOOKUP(Implements712[[#This Row],[ASABEtype]],ASABECoefficients813[],4,FALSE)/Implements712[[#This Row],[Use (hr/yr)]]</f>
        <v>15</v>
      </c>
      <c r="L60" s="171">
        <v>200</v>
      </c>
      <c r="M60" s="176">
        <f>IF(Implements712[[#This Row],[Use basis]]="hour",,L60*(D60*P60*Q60)/8.25)</f>
        <v>0</v>
      </c>
      <c r="N60" s="177" t="s">
        <v>665</v>
      </c>
      <c r="O60" s="171" t="s">
        <v>431</v>
      </c>
      <c r="P60" s="171">
        <v>4</v>
      </c>
      <c r="Q60" s="228">
        <v>0.63</v>
      </c>
      <c r="R60" s="228">
        <v>1.1499999999999999</v>
      </c>
      <c r="S60" s="171">
        <v>0</v>
      </c>
      <c r="T60"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0.26890234728499196</v>
      </c>
      <c r="U60" s="179">
        <f>Implements712[[#This Row],[TradeIn%]]*Implements712[[#This Row],[PriceL]]</f>
        <v>29579.258201349116</v>
      </c>
      <c r="V60" s="180">
        <f>(Implements712[[#This Row],[PriceP]]-Implements712[[#This Row],[TradeIn$]])/Implements712[[#This Row],[Life (yr)]]/Implements712[[#This Row],[Use (hr/yr)]]</f>
        <v>23.14024726621696</v>
      </c>
      <c r="W60" s="180">
        <f>((Implements712[[#This Row],[PriceP]]+Implements712[[#This Row],[TradeIn$]])/2*($BP$7+$BP$8+$BP$9)+Implements712[[#This Row],[Shed (ft^2)]]*$BP$12)/Implements712[[#This Row],[Use (hr/yr)]]</f>
        <v>27.644540513290057</v>
      </c>
      <c r="X60" s="180">
        <f>Implements712[[#This Row],[PriceL]]*(VLOOKUP(Implements712[[#This Row],[ASABEtype]],$BC$6:$BM$52,2)*(Implements712[[#This Row],[Life (yr)]]*Implements712[[#This Row],[Use (hr/yr)]]/1000)^VLOOKUP(Implements712[[#This Row],[ASABEtype]],$BC$6:$BM$52,3))/Implements712[[#This Row],[Life (yr)]]/Implements712[[#This Row],[Use (hr/yr)]]</f>
        <v>29.059133659602509</v>
      </c>
      <c r="Y60" s="180">
        <f>Implements712[[#This Row],[Depr ($/hr)]]+Implements712[[#This Row],[OH ($/hr)]]</f>
        <v>50.784787779507013</v>
      </c>
      <c r="Z60" s="180" t="e">
        <f>(Implements712[[#This Row],[PriceP]]-Implements712[[#This Row],[TradeIn$]])/Implements712[[#This Row],[Life (yr)]]/Implements712[[#This Row],[Use (ac/yr)]]</f>
        <v>#DIV/0!</v>
      </c>
      <c r="AA60" s="201" t="e">
        <f>((Implements712[[#This Row],[PriceP]]+Implements712[[#This Row],[TradeIn$]])/2*($BP$7+$BP$8+$BP$9)+Implements712[[#This Row],[Shed (ft^2)]]*$BP$12)/Implements712[[#This Row],[Use (ac/yr)]]</f>
        <v>#DIV/0!</v>
      </c>
      <c r="AB60"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29.059133659602509</v>
      </c>
      <c r="AC60" s="182" t="str">
        <f>IF(Implements712[[#This Row],[Use basis]]="hour","-",$BP$18/(Implements712[[#This Row],[Width]]*Implements712[[#This Row],[Speed]]*Implements712[[#This Row],[Efficiency]]))</f>
        <v>-</v>
      </c>
      <c r="AD60" s="163">
        <f>IF(Implements712[[#This Row],[Use basis]]=$N$128,Implements712[[#This Row],[Ownership costs ($/hr)]],SUM(Implements712[[#This Row],[Depr ($/ac)2]:[OH ($/ac)]]))</f>
        <v>50.784787779507013</v>
      </c>
      <c r="AE60" s="240">
        <v>54</v>
      </c>
      <c r="AF60" s="144" t="s">
        <v>426</v>
      </c>
      <c r="AG60" s="163"/>
    </row>
    <row r="61" spans="2:65">
      <c r="B61" s="144" t="str">
        <f>Implements712[[#This Row],[Implement type]]&amp;", "&amp;Implements712[[#This Row],[Width]]&amp;" "&amp;Implements712[[#This Row],[Width Unit]]&amp; ", per "&amp;Implements712[[#This Row],[Use basis]]</f>
        <v>Grain auger, 13 x 90 , per hour</v>
      </c>
      <c r="C61" s="238" t="s">
        <v>787</v>
      </c>
      <c r="D61" s="171" t="s">
        <v>902</v>
      </c>
      <c r="E61" s="238"/>
      <c r="F61" s="171">
        <v>90</v>
      </c>
      <c r="G61" s="170" t="s">
        <v>788</v>
      </c>
      <c r="H61" s="227">
        <v>31500</v>
      </c>
      <c r="I61" s="228">
        <v>0.1</v>
      </c>
      <c r="J61" s="174">
        <f t="shared" si="5"/>
        <v>35000</v>
      </c>
      <c r="K61" s="198">
        <f>VLOOKUP(Implements712[[#This Row],[ASABEtype]],ASABECoefficients813[],4,FALSE)/Implements712[[#This Row],[Use (hr/yr)]]</f>
        <v>7.5</v>
      </c>
      <c r="L61" s="171">
        <v>200</v>
      </c>
      <c r="M61" s="176">
        <f>IF(Implements712[[#This Row],[Use basis]]="hour",,L61*(D61*P61*Q61)/8.25)</f>
        <v>0</v>
      </c>
      <c r="N61" s="177" t="s">
        <v>665</v>
      </c>
      <c r="O61" s="171" t="s">
        <v>536</v>
      </c>
      <c r="P61" s="171"/>
      <c r="Q61" s="228"/>
      <c r="R61" s="228">
        <v>1.05</v>
      </c>
      <c r="S61" s="171">
        <v>0</v>
      </c>
      <c r="T61"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0.98733519085289623</v>
      </c>
      <c r="U61" s="179">
        <f>Implements712[[#This Row],[TradeIn%]]*Implements712[[#This Row],[PriceL]]</f>
        <v>34556.731679851371</v>
      </c>
      <c r="V61" s="180">
        <f>(Implements712[[#This Row],[PriceP]]-Implements712[[#This Row],[TradeIn$]])/Implements712[[#This Row],[Life (yr)]]/Implements712[[#This Row],[Use (hr/yr)]]</f>
        <v>-2.0378211199009142</v>
      </c>
      <c r="W61" s="201">
        <f>((Implements712[[#This Row],[PriceP]]+Implements712[[#This Row],[TradeIn$]])/2*($BP$7+$BP$8+$BP$9)+Implements712[[#This Row],[Shed (ft^2)]]*$BP$12)/Implements712[[#This Row],[Use (hr/yr)]]</f>
        <v>14.202197311168042</v>
      </c>
      <c r="X61" s="180">
        <f>Implements712[[#This Row],[PriceL]]*(VLOOKUP(Implements712[[#This Row],[ASABEtype]],$BC$6:$BM$52,2)*(Implements712[[#This Row],[Life (yr)]]*Implements712[[#This Row],[Use (hr/yr)]]/1000)^VLOOKUP(Implements712[[#This Row],[ASABEtype]],$BC$6:$BM$52,3))/Implements712[[#This Row],[Life (yr)]]/Implements712[[#This Row],[Use (hr/yr)]]</f>
        <v>10.650346377613955</v>
      </c>
      <c r="Y61" s="180">
        <f>Implements712[[#This Row],[Depr ($/hr)]]+Implements712[[#This Row],[OH ($/hr)]]</f>
        <v>12.164376191267127</v>
      </c>
      <c r="Z61" s="180" t="e">
        <f>(Implements712[[#This Row],[PriceP]]-Implements712[[#This Row],[TradeIn$]])/Implements712[[#This Row],[Life (yr)]]/Implements712[[#This Row],[Use (ac/yr)]]</f>
        <v>#DIV/0!</v>
      </c>
      <c r="AA61" s="201" t="e">
        <f>((Implements712[[#This Row],[PriceP]]+Implements712[[#This Row],[TradeIn$]])/2*($BP$7+$BP$8+$BP$9)+Implements712[[#This Row],[Shed (ft^2)]]*$BP$12)/Implements712[[#This Row],[Use (ac/yr)]]</f>
        <v>#DIV/0!</v>
      </c>
      <c r="AB61"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10.650346377613955</v>
      </c>
      <c r="AC61" s="182" t="str">
        <f>IF(Implements712[[#This Row],[Use basis]]="hour","-",$BP$18/(Implements712[[#This Row],[Width]]*Implements712[[#This Row],[Speed]]*Implements712[[#This Row],[Efficiency]]))</f>
        <v>-</v>
      </c>
      <c r="AD61" s="163">
        <f>IF(Implements712[[#This Row],[Use basis]]=$N$128,Implements712[[#This Row],[Ownership costs ($/hr)]],SUM(Implements712[[#This Row],[Depr ($/ac)2]:[OH ($/ac)]]))</f>
        <v>12.164376191267127</v>
      </c>
      <c r="AE61" s="163"/>
      <c r="AF61" s="163" t="s">
        <v>426</v>
      </c>
      <c r="AG61" s="163"/>
    </row>
    <row r="62" spans="2:65">
      <c r="B62" s="144" t="str">
        <f>Implements712[[#This Row],[Implement type]]&amp;", "&amp;Implements712[[#This Row],[Width]]&amp;" "&amp;Implements712[[#This Row],[Width Unit]]&amp; ", per "&amp;Implements712[[#This Row],[Use basis]]</f>
        <v>Disk mower, 9 Ft, per acre</v>
      </c>
      <c r="C62" s="170" t="s">
        <v>432</v>
      </c>
      <c r="D62" s="171">
        <v>9</v>
      </c>
      <c r="E62" s="238" t="str">
        <f>IF(D62&gt;15,"Ft Folding","Ft")</f>
        <v>Ft</v>
      </c>
      <c r="F62" s="171"/>
      <c r="G62" s="170"/>
      <c r="H62" s="227">
        <v>15300</v>
      </c>
      <c r="I62" s="228">
        <v>0.1</v>
      </c>
      <c r="J62" s="174">
        <f t="shared" si="5"/>
        <v>17000</v>
      </c>
      <c r="K62" s="198">
        <f>VLOOKUP(Implements712[[#This Row],[ASABEtype]],ASABECoefficients813[],4,FALSE)/Implements712[[#This Row],[Use (hr/yr)]]</f>
        <v>20</v>
      </c>
      <c r="L62" s="171">
        <v>100</v>
      </c>
      <c r="M62" s="176">
        <f>IF(Implements712[[#This Row],[Use basis]]="hour",,L62*(D62*P62*Q62)/8.25)</f>
        <v>531.81818181818187</v>
      </c>
      <c r="N62" s="177" t="s">
        <v>654</v>
      </c>
      <c r="O62" s="171" t="s">
        <v>433</v>
      </c>
      <c r="P62" s="171">
        <v>6.5</v>
      </c>
      <c r="Q62" s="228">
        <v>0.75</v>
      </c>
      <c r="R62" s="228">
        <v>1.05</v>
      </c>
      <c r="S62" s="171">
        <v>50</v>
      </c>
      <c r="T62"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0.19822562048629366</v>
      </c>
      <c r="U62" s="179">
        <f>Implements712[[#This Row],[TradeIn%]]*Implements712[[#This Row],[PriceL]]</f>
        <v>3369.8355482669922</v>
      </c>
      <c r="V62" s="180">
        <f>(Implements712[[#This Row],[PriceP]]-Implements712[[#This Row],[TradeIn$]])/Implements712[[#This Row],[Life (yr)]]/Implements712[[#This Row],[Use (hr/yr)]]</f>
        <v>5.9650822258665039</v>
      </c>
      <c r="W62" s="180">
        <f>((Implements712[[#This Row],[PriceP]]+Implements712[[#This Row],[TradeIn$]])/2*($BP$7+$BP$8+$BP$9)+Implements712[[#This Row],[Shed (ft^2)]]*$BP$12)/Implements712[[#This Row],[Use (hr/yr)]]</f>
        <v>8.4280292857548069</v>
      </c>
      <c r="X62" s="180">
        <f>Implements712[[#This Row],[PriceL]]*(VLOOKUP(Implements712[[#This Row],[ASABEtype]],$BC$6:$BM$52,2)*(Implements712[[#This Row],[Life (yr)]]*Implements712[[#This Row],[Use (hr/yr)]]/1000)^VLOOKUP(Implements712[[#This Row],[ASABEtype]],$BC$6:$BM$52,3))/Implements712[[#This Row],[Life (yr)]]/Implements712[[#This Row],[Use (hr/yr)]]</f>
        <v>14.96</v>
      </c>
      <c r="Y62" s="180">
        <f>Implements712[[#This Row],[Depr ($/hr)]]+Implements712[[#This Row],[OH ($/hr)]]</f>
        <v>14.39311151162131</v>
      </c>
      <c r="Z62" s="180">
        <f>(Implements712[[#This Row],[PriceP]]-Implements712[[#This Row],[TradeIn$]])/Implements712[[#This Row],[Life (yr)]]/Implements712[[#This Row],[Use (ac/yr)]]</f>
        <v>1.1216393928979749</v>
      </c>
      <c r="AA62" s="201">
        <f>((Implements712[[#This Row],[PriceP]]+Implements712[[#This Row],[TradeIn$]])/2*($BP$7+$BP$8+$BP$9)+Implements712[[#This Row],[Shed (ft^2)]]*$BP$12)/Implements712[[#This Row],[Use (ac/yr)]]</f>
        <v>1.5847576434752626</v>
      </c>
      <c r="AB62"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2.8129914529914526</v>
      </c>
      <c r="AC62" s="182">
        <f>IF(Implements712[[#This Row],[Use basis]]="hour","-",$BP$18/(Implements712[[#This Row],[Width]]*Implements712[[#This Row],[Speed]]*Implements712[[#This Row],[Efficiency]]))</f>
        <v>0.18803418803418803</v>
      </c>
      <c r="AD62" s="163">
        <f>IF(Implements712[[#This Row],[Use basis]]=$N$128,Implements712[[#This Row],[Ownership costs ($/hr)]],SUM(Implements712[[#This Row],[Depr ($/ac)2]:[OH ($/ac)]]))</f>
        <v>2.7063970363732377</v>
      </c>
      <c r="AE62" s="240">
        <v>28</v>
      </c>
      <c r="AF62" s="144" t="s">
        <v>434</v>
      </c>
      <c r="AG62" s="163"/>
    </row>
    <row r="63" spans="2:65">
      <c r="B63" s="144" t="str">
        <f>Implements712[[#This Row],[Implement type]]&amp;", "&amp;Implements712[[#This Row],[Width]]&amp;" "&amp;Implements712[[#This Row],[Width Unit]]&amp; ", per "&amp;Implements712[[#This Row],[Use basis]]</f>
        <v>Disk mower/conditioner, 12 Ft, per acre</v>
      </c>
      <c r="C63" s="170" t="s">
        <v>435</v>
      </c>
      <c r="D63" s="171">
        <v>12</v>
      </c>
      <c r="E63" s="238" t="str">
        <f>IF(D63&gt;15,"Ft Folding","Ft")</f>
        <v>Ft</v>
      </c>
      <c r="F63" s="171"/>
      <c r="G63" s="171"/>
      <c r="H63" s="227">
        <v>54000</v>
      </c>
      <c r="I63" s="228">
        <v>0.1</v>
      </c>
      <c r="J63" s="174">
        <f t="shared" si="5"/>
        <v>60000</v>
      </c>
      <c r="K63" s="198">
        <f>VLOOKUP(Implements712[[#This Row],[ASABEtype]],ASABECoefficients813[],4,FALSE)/Implements712[[#This Row],[Use (hr/yr)]]</f>
        <v>25</v>
      </c>
      <c r="L63" s="171">
        <v>100</v>
      </c>
      <c r="M63" s="176">
        <f>IF(Implements712[[#This Row],[Use basis]]="hour",,L63*(D63*P63*Q63)/8.25)</f>
        <v>756.36363636363649</v>
      </c>
      <c r="N63" s="177" t="s">
        <v>654</v>
      </c>
      <c r="O63" s="171" t="s">
        <v>436</v>
      </c>
      <c r="P63" s="171">
        <v>6.5</v>
      </c>
      <c r="Q63" s="228">
        <v>0.8</v>
      </c>
      <c r="R63" s="228">
        <v>1.05</v>
      </c>
      <c r="S63" s="171">
        <v>200</v>
      </c>
      <c r="T63"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0.2425222613320481</v>
      </c>
      <c r="U63" s="179">
        <f>Implements712[[#This Row],[TradeIn%]]*Implements712[[#This Row],[PriceL]]</f>
        <v>14551.335679922886</v>
      </c>
      <c r="V63" s="180">
        <f>(Implements712[[#This Row],[PriceP]]-Implements712[[#This Row],[TradeIn$]])/Implements712[[#This Row],[Life (yr)]]/Implements712[[#This Row],[Use (hr/yr)]]</f>
        <v>15.779465728030846</v>
      </c>
      <c r="W63" s="180">
        <f>((Implements712[[#This Row],[PriceP]]+Implements712[[#This Row],[TradeIn$]])/2*($BP$7+$BP$8+$BP$9)+Implements712[[#This Row],[Shed (ft^2)]]*$BP$12)/Implements712[[#This Row],[Use (hr/yr)]]</f>
        <v>31.077074342366842</v>
      </c>
      <c r="X63" s="180">
        <f>Implements712[[#This Row],[PriceL]]*(VLOOKUP(Implements712[[#This Row],[ASABEtype]],$BC$6:$BM$52,2)*(Implements712[[#This Row],[Life (yr)]]*Implements712[[#This Row],[Use (hr/yr)]]/1000)^VLOOKUP(Implements712[[#This Row],[ASABEtype]],$BC$6:$BM$52,3))/Implements712[[#This Row],[Life (yr)]]/Implements712[[#This Row],[Use (hr/yr)]]</f>
        <v>24</v>
      </c>
      <c r="Y63" s="180">
        <f>Implements712[[#This Row],[Depr ($/hr)]]+Implements712[[#This Row],[OH ($/hr)]]</f>
        <v>46.856540070397685</v>
      </c>
      <c r="Z63" s="180">
        <f>(Implements712[[#This Row],[PriceP]]-Implements712[[#This Row],[TradeIn$]])/Implements712[[#This Row],[Life (yr)]]/Implements712[[#This Row],[Use (ac/yr)]]</f>
        <v>2.0862274400040777</v>
      </c>
      <c r="AA63" s="201">
        <f>((Implements712[[#This Row],[PriceP]]+Implements712[[#This Row],[TradeIn$]])/2*($BP$7+$BP$8+$BP$9)+Implements712[[#This Row],[Shed (ft^2)]]*$BP$12)/Implements712[[#This Row],[Use (ac/yr)]]</f>
        <v>4.1087478096879231</v>
      </c>
      <c r="AB63"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3.1730769230769225</v>
      </c>
      <c r="AC63" s="182">
        <f>IF(Implements712[[#This Row],[Use basis]]="hour","-",$BP$18/(Implements712[[#This Row],[Width]]*Implements712[[#This Row],[Speed]]*Implements712[[#This Row],[Efficiency]]))</f>
        <v>0.13221153846153844</v>
      </c>
      <c r="AD63" s="163">
        <f>IF(Implements712[[#This Row],[Use basis]]=$N$128,Implements712[[#This Row],[Ownership costs ($/hr)]],SUM(Implements712[[#This Row],[Depr ($/ac)2]:[OH ($/ac)]]))</f>
        <v>6.1949752496920008</v>
      </c>
      <c r="AE63" s="240">
        <v>28</v>
      </c>
      <c r="AF63" s="144" t="s">
        <v>434</v>
      </c>
      <c r="AG63" s="163"/>
    </row>
    <row r="64" spans="2:65">
      <c r="B64" s="144" t="str">
        <f>Implements712[[#This Row],[Implement type]]&amp;", "&amp;Implements712[[#This Row],[Width]]&amp;" "&amp;Implements712[[#This Row],[Width Unit]]</f>
        <v>Sickle bar mower, 9 Ft</v>
      </c>
      <c r="C64" s="170" t="s">
        <v>674</v>
      </c>
      <c r="D64" s="171">
        <v>9</v>
      </c>
      <c r="E64" s="238" t="s">
        <v>402</v>
      </c>
      <c r="F64" s="171"/>
      <c r="G64" s="170"/>
      <c r="H64" s="227">
        <v>6710</v>
      </c>
      <c r="I64" s="228">
        <v>0.1</v>
      </c>
      <c r="J64" s="174">
        <f t="shared" si="5"/>
        <v>7455.5555555555557</v>
      </c>
      <c r="K64" s="198">
        <f>VLOOKUP(Implements712[[#This Row],[ASABEtype]],ASABECoefficients813[],4,FALSE)/Implements712[[#This Row],[Use (hr/yr)]]</f>
        <v>20</v>
      </c>
      <c r="L64" s="171">
        <v>100</v>
      </c>
      <c r="M64" s="176">
        <f>IF(Implements712[[#This Row],[Use basis]]="hour",,L64*(D64*P64*Q64)/8.25)</f>
        <v>368.18181818181819</v>
      </c>
      <c r="N64" s="177" t="s">
        <v>654</v>
      </c>
      <c r="O64" s="171" t="s">
        <v>546</v>
      </c>
      <c r="P64" s="171">
        <v>4.5</v>
      </c>
      <c r="Q64" s="228">
        <v>0.75</v>
      </c>
      <c r="R64" s="228">
        <v>1.05</v>
      </c>
      <c r="S64" s="171">
        <v>30</v>
      </c>
      <c r="T64"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0.19822562048629366</v>
      </c>
      <c r="U64" s="179">
        <f>Implements712[[#This Row],[TradeIn%]]*Implements712[[#This Row],[PriceL]]</f>
        <v>1477.8821260700338</v>
      </c>
      <c r="V64" s="180">
        <f>(Implements712[[#This Row],[PriceP]]-Implements712[[#This Row],[TradeIn$]])/Implements712[[#This Row],[Life (yr)]]/Implements712[[#This Row],[Use (hr/yr)]]</f>
        <v>2.6160589369649836</v>
      </c>
      <c r="W64" s="201">
        <f>((Implements712[[#This Row],[PriceP]]+Implements712[[#This Row],[TradeIn$]])/2*($BP$7+$BP$8+$BP$9)+Implements712[[#This Row],[Shed (ft^2)]]*$BP$12)/Implements712[[#This Row],[Use (hr/yr)]]</f>
        <v>3.7607893142101143</v>
      </c>
      <c r="X64" s="180">
        <f>Implements712[[#This Row],[PriceL]]*(VLOOKUP(Implements712[[#This Row],[ASABEtype]],$BC$6:$BM$52,2)*(Implements712[[#This Row],[Life (yr)]]*Implements712[[#This Row],[Use (hr/yr)]]/1000)^VLOOKUP(Implements712[[#This Row],[ASABEtype]],$BC$6:$BM$52,3))/Implements712[[#This Row],[Life (yr)]]/Implements712[[#This Row],[Use (hr/yr)]]</f>
        <v>5.5713294368736817</v>
      </c>
      <c r="Y64" s="180">
        <f>Implements712[[#This Row],[Depr ($/hr)]]+Implements712[[#This Row],[OH ($/hr)]]</f>
        <v>6.3768482511750975</v>
      </c>
      <c r="Z64" s="180">
        <f>(Implements712[[#This Row],[PriceP]]-Implements712[[#This Row],[TradeIn$]])/Implements712[[#This Row],[Life (yr)]]/Implements712[[#This Row],[Use (ac/yr)]]</f>
        <v>0.71053452608925483</v>
      </c>
      <c r="AA64" s="201">
        <f>((Implements712[[#This Row],[PriceP]]+Implements712[[#This Row],[TradeIn$]])/2*($BP$7+$BP$8+$BP$9)+Implements712[[#This Row],[Shed (ft^2)]]*$BP$12)/Implements712[[#This Row],[Use (ac/yr)]]</f>
        <v>1.0214489495385495</v>
      </c>
      <c r="AB64"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1.5132005877928518</v>
      </c>
      <c r="AC64" s="182">
        <f>IF(Implements712[[#This Row],[Use basis]]="hour","-",$BP$18/(Implements712[[#This Row],[Width]]*Implements712[[#This Row],[Speed]]*Implements712[[#This Row],[Efficiency]]))</f>
        <v>0.27160493827160492</v>
      </c>
      <c r="AD64" s="163">
        <f>IF(Implements712[[#This Row],[Use basis]]=$N$128,Implements712[[#This Row],[Ownership costs ($/hr)]],SUM(Implements712[[#This Row],[Depr ($/ac)2]:[OH ($/ac)]]))</f>
        <v>1.7319834756278043</v>
      </c>
      <c r="AE64" s="163"/>
      <c r="AF64" s="144" t="s">
        <v>434</v>
      </c>
      <c r="AG64" s="163"/>
    </row>
    <row r="65" spans="2:33">
      <c r="B65" s="144" t="str">
        <f>Implements712[[#This Row],[Implement type]]&amp;", "&amp;Implements712[[#This Row],[Width]]&amp;" "&amp;Implements712[[#This Row],[Width Unit]]&amp; ", per "&amp;Implements712[[#This Row],[Use basis]]</f>
        <v>Hay merger, 14 Ft, per acre</v>
      </c>
      <c r="C65" s="170" t="s">
        <v>437</v>
      </c>
      <c r="D65" s="171">
        <v>14</v>
      </c>
      <c r="E65" s="238" t="str">
        <f>IF(D65&gt;15,"Ft Folding","Ft")</f>
        <v>Ft</v>
      </c>
      <c r="F65" s="171"/>
      <c r="G65" s="171"/>
      <c r="H65" s="227">
        <f>ROUND(65000*1.1,-3)</f>
        <v>72000</v>
      </c>
      <c r="I65" s="228">
        <v>0.1</v>
      </c>
      <c r="J65" s="174">
        <f t="shared" si="5"/>
        <v>80000</v>
      </c>
      <c r="K65" s="198">
        <f>VLOOKUP(Implements712[[#This Row],[ASABEtype]],ASABECoefficients813[],4,FALSE)/Implements712[[#This Row],[Use (hr/yr)]]</f>
        <v>25</v>
      </c>
      <c r="L65" s="171">
        <v>100</v>
      </c>
      <c r="M65" s="176">
        <f>IF(Implements712[[#This Row],[Use basis]]="hour",,L65*(D65*P65*Q65)/8.25)</f>
        <v>1153.939393939394</v>
      </c>
      <c r="N65" s="177" t="s">
        <v>654</v>
      </c>
      <c r="O65" s="171" t="s">
        <v>438</v>
      </c>
      <c r="P65" s="171">
        <v>8</v>
      </c>
      <c r="Q65" s="228">
        <v>0.85</v>
      </c>
      <c r="R65" s="228">
        <v>1.05</v>
      </c>
      <c r="S65" s="171">
        <v>345</v>
      </c>
      <c r="T65"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0.1558696927894643</v>
      </c>
      <c r="U65" s="179">
        <f>Implements712[[#This Row],[TradeIn%]]*Implements712[[#This Row],[PriceL]]</f>
        <v>12469.575423157145</v>
      </c>
      <c r="V65" s="180">
        <f>(Implements712[[#This Row],[PriceP]]-Implements712[[#This Row],[TradeIn$]])/Implements712[[#This Row],[Life (yr)]]/Implements712[[#This Row],[Use (hr/yr)]]</f>
        <v>23.81216983073714</v>
      </c>
      <c r="W65" s="180">
        <f>((Implements712[[#This Row],[PriceP]]+Implements712[[#This Row],[TradeIn$]])/2*($BP$7+$BP$8+$BP$9)+Implements712[[#This Row],[Shed (ft^2)]]*$BP$12)/Implements712[[#This Row],[Use (hr/yr)]]</f>
        <v>39.081917431957571</v>
      </c>
      <c r="X65" s="180">
        <f>Implements712[[#This Row],[PriceL]]*(VLOOKUP(Implements712[[#This Row],[ASABEtype]],$BC$6:$BM$52,2)*(Implements712[[#This Row],[Life (yr)]]*Implements712[[#This Row],[Use (hr/yr)]]/1000)^VLOOKUP(Implements712[[#This Row],[ASABEtype]],$BC$6:$BM$52,3))/Implements712[[#This Row],[Life (yr)]]/Implements712[[#This Row],[Use (hr/yr)]]</f>
        <v>19.620718720338104</v>
      </c>
      <c r="Y65" s="180">
        <f>Implements712[[#This Row],[Depr ($/hr)]]+Implements712[[#This Row],[OH ($/hr)]]</f>
        <v>62.894087262694711</v>
      </c>
      <c r="Z65" s="180">
        <f>(Implements712[[#This Row],[PriceP]]-Implements712[[#This Row],[TradeIn$]])/Implements712[[#This Row],[Life (yr)]]/Implements712[[#This Row],[Use (ac/yr)]]</f>
        <v>2.0635546334409809</v>
      </c>
      <c r="AA65" s="201">
        <f>((Implements712[[#This Row],[PriceP]]+Implements712[[#This Row],[TradeIn$]])/2*($BP$7+$BP$8+$BP$9)+Implements712[[#This Row],[Shed (ft^2)]]*$BP$12)/Implements712[[#This Row],[Use (ac/yr)]]</f>
        <v>3.3868258278744743</v>
      </c>
      <c r="AB65"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1.7003248891049303</v>
      </c>
      <c r="AC65" s="182">
        <f>IF(Implements712[[#This Row],[Use basis]]="hour","-",$BP$18/(Implements712[[#This Row],[Width]]*Implements712[[#This Row],[Speed]]*Implements712[[#This Row],[Efficiency]]))</f>
        <v>8.6659663865546216E-2</v>
      </c>
      <c r="AD65" s="163">
        <f>IF(Implements712[[#This Row],[Use basis]]=$N$128,Implements712[[#This Row],[Ownership costs ($/hr)]],SUM(Implements712[[#This Row],[Depr ($/ac)2]:[OH ($/ac)]]))</f>
        <v>5.4503804613154552</v>
      </c>
      <c r="AE65" s="240">
        <v>30</v>
      </c>
      <c r="AF65" s="144" t="s">
        <v>434</v>
      </c>
      <c r="AG65" s="163"/>
    </row>
    <row r="66" spans="2:33">
      <c r="B66" s="144" t="str">
        <f>Implements712[[#This Row],[Implement type]]&amp;", "&amp;Implements712[[#This Row],[Width]]&amp;" "&amp;Implements712[[#This Row],[Width Unit]]&amp; ", per "&amp;Implements712[[#This Row],[Use basis]]</f>
        <v>Hay merger, 34 Ft Folding, per acre</v>
      </c>
      <c r="C66" s="170" t="s">
        <v>437</v>
      </c>
      <c r="D66" s="171">
        <v>34</v>
      </c>
      <c r="E66" s="238" t="str">
        <f>IF(D66&gt;15,"Ft Folding","Ft")</f>
        <v>Ft Folding</v>
      </c>
      <c r="F66" s="171"/>
      <c r="G66" s="171"/>
      <c r="H66" s="227">
        <v>182250</v>
      </c>
      <c r="I66" s="228">
        <v>0.1</v>
      </c>
      <c r="J66" s="174">
        <f t="shared" si="5"/>
        <v>202500</v>
      </c>
      <c r="K66" s="198">
        <f>VLOOKUP(Implements712[[#This Row],[ASABEtype]],ASABECoefficients813[],4,FALSE)/Implements712[[#This Row],[Use (hr/yr)]]</f>
        <v>30</v>
      </c>
      <c r="L66" s="171">
        <v>100</v>
      </c>
      <c r="M66" s="176">
        <f>IF(Implements712[[#This Row],[Use basis]]="hour",,L66*(D66*P66*Q66)/8.25)</f>
        <v>2802.4242424242425</v>
      </c>
      <c r="N66" s="177" t="s">
        <v>654</v>
      </c>
      <c r="O66" s="171" t="s">
        <v>439</v>
      </c>
      <c r="P66" s="171">
        <v>8</v>
      </c>
      <c r="Q66" s="228">
        <v>0.85</v>
      </c>
      <c r="R66" s="228">
        <v>1.05</v>
      </c>
      <c r="S66" s="171">
        <v>345</v>
      </c>
      <c r="T66"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0.1928287988489239</v>
      </c>
      <c r="U66" s="179">
        <f>Implements712[[#This Row],[TradeIn%]]*Implements712[[#This Row],[PriceL]]</f>
        <v>39047.831766907089</v>
      </c>
      <c r="V66" s="180">
        <f>(Implements712[[#This Row],[PriceP]]-Implements712[[#This Row],[TradeIn$]])/Implements712[[#This Row],[Life (yr)]]/Implements712[[#This Row],[Use (hr/yr)]]</f>
        <v>47.73405607769763</v>
      </c>
      <c r="W66" s="180">
        <f>((Implements712[[#This Row],[PriceP]]+Implements712[[#This Row],[TradeIn$]])/2*($BP$7+$BP$8+$BP$9)+Implements712[[#This Row],[Shed (ft^2)]]*$BP$12)/Implements712[[#This Row],[Use (hr/yr)]]</f>
        <v>97.918067659770045</v>
      </c>
      <c r="X66" s="180">
        <f>Implements712[[#This Row],[PriceL]]*(VLOOKUP(Implements712[[#This Row],[ASABEtype]],$BC$6:$BM$52,2)*(Implements712[[#This Row],[Life (yr)]]*Implements712[[#This Row],[Use (hr/yr)]]/1000)^VLOOKUP(Implements712[[#This Row],[ASABEtype]],$BC$6:$BM$52,3))/Implements712[[#This Row],[Life (yr)]]/Implements712[[#This Row],[Use (hr/yr)]]</f>
        <v>36.450000000000003</v>
      </c>
      <c r="Y66" s="180">
        <f>Implements712[[#This Row],[Depr ($/hr)]]+Implements712[[#This Row],[OH ($/hr)]]</f>
        <v>145.65212373746766</v>
      </c>
      <c r="Z66" s="180">
        <f>(Implements712[[#This Row],[PriceP]]-Implements712[[#This Row],[TradeIn$]])/Implements712[[#This Row],[Life (yr)]]/Implements712[[#This Row],[Use (ac/yr)]]</f>
        <v>1.7033129872015806</v>
      </c>
      <c r="AA66" s="201">
        <f>((Implements712[[#This Row],[PriceP]]+Implements712[[#This Row],[TradeIn$]])/2*($BP$7+$BP$8+$BP$9)+Implements712[[#This Row],[Shed (ft^2)]]*$BP$12)/Implements712[[#This Row],[Use (ac/yr)]]</f>
        <v>3.4940486946068461</v>
      </c>
      <c r="AB66"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1.3006596020761245</v>
      </c>
      <c r="AC66" s="182">
        <f>IF(Implements712[[#This Row],[Use basis]]="hour","-",$BP$18/(Implements712[[#This Row],[Width]]*Implements712[[#This Row],[Speed]]*Implements712[[#This Row],[Efficiency]]))</f>
        <v>3.5683391003460206E-2</v>
      </c>
      <c r="AD66" s="163">
        <f>IF(Implements712[[#This Row],[Use basis]]=$N$128,Implements712[[#This Row],[Ownership costs ($/hr)]],SUM(Implements712[[#This Row],[Depr ($/ac)2]:[OH ($/ac)]]))</f>
        <v>5.1973616818084265</v>
      </c>
      <c r="AE66" s="240">
        <v>31</v>
      </c>
      <c r="AF66" s="144" t="s">
        <v>434</v>
      </c>
      <c r="AG66" s="163"/>
    </row>
    <row r="67" spans="2:33">
      <c r="B67" s="144" t="str">
        <f>Implements712[[#This Row],[Implement type]]&amp;", "&amp;Implements712[[#This Row],[Width]]&amp;" "&amp;Implements712[[#This Row],[Width Unit]]&amp; ", per "&amp;Implements712[[#This Row],[Use basis]]</f>
        <v>Hay rake, 20 Ft Folding, per acre</v>
      </c>
      <c r="C67" s="170" t="s">
        <v>440</v>
      </c>
      <c r="D67" s="171">
        <v>20</v>
      </c>
      <c r="E67" s="238" t="str">
        <f>IF(D67&gt;15,"Ft Folding","Ft")</f>
        <v>Ft Folding</v>
      </c>
      <c r="F67" s="171">
        <v>8</v>
      </c>
      <c r="G67" s="170" t="s">
        <v>441</v>
      </c>
      <c r="H67" s="227">
        <v>9000</v>
      </c>
      <c r="I67" s="228">
        <v>0.15</v>
      </c>
      <c r="J67" s="174">
        <f t="shared" si="5"/>
        <v>10588.235294117647</v>
      </c>
      <c r="K67" s="198">
        <f>VLOOKUP(Implements712[[#This Row],[ASABEtype]],ASABECoefficients813[],4,FALSE)/Implements712[[#This Row],[Use (hr/yr)]]</f>
        <v>20</v>
      </c>
      <c r="L67" s="171">
        <v>100</v>
      </c>
      <c r="M67" s="176">
        <f>IF(Implements712[[#This Row],[Use basis]]="hour",,L67*(D67*P67*Q67)/8.25)</f>
        <v>1648.4848484848485</v>
      </c>
      <c r="N67" s="177" t="s">
        <v>654</v>
      </c>
      <c r="O67" s="171" t="s">
        <v>552</v>
      </c>
      <c r="P67" s="171">
        <v>8</v>
      </c>
      <c r="Q67" s="228">
        <v>0.85</v>
      </c>
      <c r="R67" s="228">
        <v>1.05</v>
      </c>
      <c r="S67" s="171">
        <v>175</v>
      </c>
      <c r="T67"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0.24787241594786602</v>
      </c>
      <c r="U67" s="179">
        <f>Implements712[[#This Row],[TradeIn%]]*Implements712[[#This Row],[PriceL]]</f>
        <v>2624.5314629774048</v>
      </c>
      <c r="V67" s="180">
        <f>(Implements712[[#This Row],[PriceP]]-Implements712[[#This Row],[TradeIn$]])/Implements712[[#This Row],[Life (yr)]]/Implements712[[#This Row],[Use (hr/yr)]]</f>
        <v>3.1877342685112979</v>
      </c>
      <c r="W67" s="180">
        <f>((Implements712[[#This Row],[PriceP]]+Implements712[[#This Row],[TradeIn$]])/2*($BP$7+$BP$8+$BP$9)+Implements712[[#This Row],[Shed (ft^2)]]*$BP$12)/Implements712[[#This Row],[Use (hr/yr)]]</f>
        <v>6.3985485290802835</v>
      </c>
      <c r="X67" s="180">
        <f>Implements712[[#This Row],[PriceL]]*(VLOOKUP(Implements712[[#This Row],[ASABEtype]],$BC$6:$BM$52,2)*(Implements712[[#This Row],[Life (yr)]]*Implements712[[#This Row],[Use (hr/yr)]]/1000)^VLOOKUP(Implements712[[#This Row],[ASABEtype]],$BC$6:$BM$52,3))/Implements712[[#This Row],[Life (yr)]]/Implements712[[#This Row],[Use (hr/yr)]]</f>
        <v>3.7722402625625095</v>
      </c>
      <c r="Y67" s="180">
        <f>Implements712[[#This Row],[Depr ($/hr)]]+Implements712[[#This Row],[OH ($/hr)]]</f>
        <v>9.586282797591581</v>
      </c>
      <c r="Z67" s="180">
        <f>(Implements712[[#This Row],[PriceP]]-Implements712[[#This Row],[TradeIn$]])/Implements712[[#This Row],[Life (yr)]]/Implements712[[#This Row],[Use (ac/yr)]]</f>
        <v>0.19337358614131034</v>
      </c>
      <c r="AA67" s="201">
        <f>((Implements712[[#This Row],[PriceP]]+Implements712[[#This Row],[TradeIn$]])/2*($BP$7+$BP$8+$BP$9)+Implements712[[#This Row],[Shed (ft^2)]]*$BP$12)/Implements712[[#This Row],[Use (ac/yr)]]</f>
        <v>0.38814724533023776</v>
      </c>
      <c r="AB67"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0.22883075122162283</v>
      </c>
      <c r="AC67" s="182">
        <f>IF(Implements712[[#This Row],[Use basis]]="hour","-",$BP$18/(Implements712[[#This Row],[Width]]*Implements712[[#This Row],[Speed]]*Implements712[[#This Row],[Efficiency]]))</f>
        <v>6.0661764705882353E-2</v>
      </c>
      <c r="AD67" s="163">
        <f>IF(Implements712[[#This Row],[Use basis]]=$N$128,Implements712[[#This Row],[Ownership costs ($/hr)]],SUM(Implements712[[#This Row],[Depr ($/ac)2]:[OH ($/ac)]]))</f>
        <v>0.58152083147154809</v>
      </c>
      <c r="AE67" s="163"/>
      <c r="AF67" s="144" t="s">
        <v>434</v>
      </c>
      <c r="AG67" s="163"/>
    </row>
    <row r="68" spans="2:33">
      <c r="B68" s="144" t="str">
        <f>Implements712[[#This Row],[Implement type]]&amp;", "&amp;Implements712[[#This Row],[Width]]&amp;" "&amp;Implements712[[#This Row],[Width Unit]]&amp; ", per "&amp;Implements712[[#This Row],[Use basis]]</f>
        <v>Hay rake, 30 Ft Folding, per acre</v>
      </c>
      <c r="C68" s="170" t="s">
        <v>440</v>
      </c>
      <c r="D68" s="171">
        <v>30</v>
      </c>
      <c r="E68" s="238" t="str">
        <f>IF(D68&gt;15,"Ft Folding","Ft")</f>
        <v>Ft Folding</v>
      </c>
      <c r="F68" s="171">
        <v>12</v>
      </c>
      <c r="G68" s="171" t="s">
        <v>441</v>
      </c>
      <c r="H68" s="227">
        <v>17500</v>
      </c>
      <c r="I68" s="228">
        <v>0.1</v>
      </c>
      <c r="J68" s="174">
        <f t="shared" si="5"/>
        <v>19444.444444444445</v>
      </c>
      <c r="K68" s="198">
        <f>VLOOKUP(Implements712[[#This Row],[ASABEtype]],ASABECoefficients813[],4,FALSE)/Implements712[[#This Row],[Use (hr/yr)]]</f>
        <v>20</v>
      </c>
      <c r="L68" s="171">
        <v>100</v>
      </c>
      <c r="M68" s="176">
        <f>IF(Implements712[[#This Row],[Use basis]]="hour",,L68*(D68*P68*Q68)/8.25)</f>
        <v>2472.7272727272725</v>
      </c>
      <c r="N68" s="177" t="s">
        <v>654</v>
      </c>
      <c r="O68" s="171" t="s">
        <v>552</v>
      </c>
      <c r="P68" s="171">
        <v>8</v>
      </c>
      <c r="Q68" s="228">
        <v>0.85</v>
      </c>
      <c r="R68" s="228">
        <v>1.05</v>
      </c>
      <c r="S68" s="171">
        <v>250</v>
      </c>
      <c r="T68"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0.24787241594786602</v>
      </c>
      <c r="U68" s="179">
        <f>Implements712[[#This Row],[TradeIn%]]*Implements712[[#This Row],[PriceL]]</f>
        <v>4819.7414212085059</v>
      </c>
      <c r="V68" s="180">
        <f>(Implements712[[#This Row],[PriceP]]-Implements712[[#This Row],[TradeIn$]])/Implements712[[#This Row],[Life (yr)]]/Implements712[[#This Row],[Use (hr/yr)]]</f>
        <v>6.3401292893957475</v>
      </c>
      <c r="W68" s="180">
        <f>((Implements712[[#This Row],[PriceP]]+Implements712[[#This Row],[TradeIn$]])/2*($BP$7+$BP$8+$BP$9)+Implements712[[#This Row],[Shed (ft^2)]]*$BP$12)/Implements712[[#This Row],[Use (hr/yr)]]</f>
        <v>11.597488811119655</v>
      </c>
      <c r="X68" s="180">
        <f>Implements712[[#This Row],[PriceL]]*(VLOOKUP(Implements712[[#This Row],[ASABEtype]],$BC$6:$BM$52,2)*(Implements712[[#This Row],[Life (yr)]]*Implements712[[#This Row],[Use (hr/yr)]]/1000)^VLOOKUP(Implements712[[#This Row],[ASABEtype]],$BC$6:$BM$52,3))/Implements712[[#This Row],[Life (yr)]]/Implements712[[#This Row],[Use (hr/yr)]]</f>
        <v>6.9274165315576957</v>
      </c>
      <c r="Y68" s="180">
        <f>Implements712[[#This Row],[Depr ($/hr)]]+Implements712[[#This Row],[OH ($/hr)]]</f>
        <v>17.937618100515401</v>
      </c>
      <c r="Z68" s="180">
        <f>(Implements712[[#This Row],[PriceP]]-Implements712[[#This Row],[TradeIn$]])/Implements712[[#This Row],[Life (yr)]]/Implements712[[#This Row],[Use (ac/yr)]]</f>
        <v>0.25640228743879862</v>
      </c>
      <c r="AA68" s="201">
        <f>((Implements712[[#This Row],[PriceP]]+Implements712[[#This Row],[TradeIn$]])/2*($BP$7+$BP$8+$BP$9)+Implements712[[#This Row],[Shed (ft^2)]]*$BP$12)/Implements712[[#This Row],[Use (ac/yr)]]</f>
        <v>0.46901609162616259</v>
      </c>
      <c r="AB68"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0.28015287443799508</v>
      </c>
      <c r="AC68" s="182">
        <f>IF(Implements712[[#This Row],[Use basis]]="hour","-",$BP$18/(Implements712[[#This Row],[Width]]*Implements712[[#This Row],[Speed]]*Implements712[[#This Row],[Efficiency]]))</f>
        <v>4.0441176470588237E-2</v>
      </c>
      <c r="AD68" s="163">
        <f>IF(Implements712[[#This Row],[Use basis]]=$N$128,Implements712[[#This Row],[Ownership costs ($/hr)]],SUM(Implements712[[#This Row],[Depr ($/ac)2]:[OH ($/ac)]]))</f>
        <v>0.72541837906496121</v>
      </c>
      <c r="AE68" s="240">
        <v>29</v>
      </c>
      <c r="AF68" s="144" t="s">
        <v>434</v>
      </c>
      <c r="AG68" s="163"/>
    </row>
    <row r="69" spans="2:33">
      <c r="B69" s="144" t="str">
        <f>Implements712[[#This Row],[Implement type]]&amp;", "&amp;Implements712[[#This Row],[Width]]&amp;" "&amp;Implements712[[#This Row],[Width Unit]]&amp; ", per "&amp;Implements712[[#This Row],[Use basis]]</f>
        <v>Hay tedder, 16 Ft Folding, per acre</v>
      </c>
      <c r="C69" s="170" t="s">
        <v>442</v>
      </c>
      <c r="D69" s="171">
        <v>16</v>
      </c>
      <c r="E69" s="238" t="str">
        <f>IF(D69&gt;15,"Ft Folding","Ft")</f>
        <v>Ft Folding</v>
      </c>
      <c r="F69" s="171">
        <v>4</v>
      </c>
      <c r="G69" s="170" t="s">
        <v>443</v>
      </c>
      <c r="H69" s="227">
        <v>11700</v>
      </c>
      <c r="I69" s="228">
        <v>0.1</v>
      </c>
      <c r="J69" s="174">
        <f t="shared" si="5"/>
        <v>13000</v>
      </c>
      <c r="K69" s="198">
        <f>VLOOKUP(Implements712[[#This Row],[ASABEtype]],ASABECoefficients813[],4,FALSE)/Implements712[[#This Row],[Use (hr/yr)]]</f>
        <v>25</v>
      </c>
      <c r="L69" s="171">
        <v>100</v>
      </c>
      <c r="M69" s="176">
        <f>IF(Implements712[[#This Row],[Use basis]]="hour",,L69*(D69*P69*Q69)/8.25)</f>
        <v>1648.4848484848485</v>
      </c>
      <c r="N69" s="177" t="s">
        <v>654</v>
      </c>
      <c r="O69" s="171" t="s">
        <v>438</v>
      </c>
      <c r="P69" s="171">
        <v>10</v>
      </c>
      <c r="Q69" s="228">
        <v>0.85</v>
      </c>
      <c r="R69" s="228">
        <v>1.05</v>
      </c>
      <c r="S69" s="171">
        <v>70</v>
      </c>
      <c r="T69"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0.1558696927894643</v>
      </c>
      <c r="U69" s="179">
        <f>Implements712[[#This Row],[TradeIn%]]*Implements712[[#This Row],[PriceL]]</f>
        <v>2026.3060062630359</v>
      </c>
      <c r="V69" s="180">
        <f>(Implements712[[#This Row],[PriceP]]-Implements712[[#This Row],[TradeIn$]])/Implements712[[#This Row],[Life (yr)]]/Implements712[[#This Row],[Use (hr/yr)]]</f>
        <v>3.8694775974947855</v>
      </c>
      <c r="W69" s="180">
        <f>((Implements712[[#This Row],[PriceP]]+Implements712[[#This Row],[TradeIn$]])/2*($BP$7+$BP$8+$BP$9)+Implements712[[#This Row],[Shed (ft^2)]]*$BP$12)/Implements712[[#This Row],[Use (hr/yr)]]</f>
        <v>6.462311582693105</v>
      </c>
      <c r="X69" s="180">
        <f>Implements712[[#This Row],[PriceL]]*(VLOOKUP(Implements712[[#This Row],[ASABEtype]],$BC$6:$BM$52,2)*(Implements712[[#This Row],[Life (yr)]]*Implements712[[#This Row],[Use (hr/yr)]]/1000)^VLOOKUP(Implements712[[#This Row],[ASABEtype]],$BC$6:$BM$52,3))/Implements712[[#This Row],[Life (yr)]]/Implements712[[#This Row],[Use (hr/yr)]]</f>
        <v>3.1883667920549419</v>
      </c>
      <c r="Y69" s="180">
        <f>Implements712[[#This Row],[Depr ($/hr)]]+Implements712[[#This Row],[OH ($/hr)]]</f>
        <v>10.33178918018789</v>
      </c>
      <c r="Z69" s="180">
        <f>(Implements712[[#This Row],[PriceP]]-Implements712[[#This Row],[TradeIn$]])/Implements712[[#This Row],[Life (yr)]]/Implements712[[#This Row],[Use (ac/yr)]]</f>
        <v>0.23472933955391162</v>
      </c>
      <c r="AA69" s="201">
        <f>((Implements712[[#This Row],[PriceP]]+Implements712[[#This Row],[TradeIn$]])/2*($BP$7+$BP$8+$BP$9)+Implements712[[#This Row],[Shed (ft^2)]]*$BP$12)/Implements712[[#This Row],[Use (ac/yr)]]</f>
        <v>0.39201522468542732</v>
      </c>
      <c r="AB69"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0.19341195613568582</v>
      </c>
      <c r="AC69" s="182">
        <f>IF(Implements712[[#This Row],[Use basis]]="hour","-",$BP$18/(Implements712[[#This Row],[Width]]*Implements712[[#This Row],[Speed]]*Implements712[[#This Row],[Efficiency]]))</f>
        <v>6.0661764705882353E-2</v>
      </c>
      <c r="AD69" s="163">
        <f>IF(Implements712[[#This Row],[Use basis]]=$N$128,Implements712[[#This Row],[Ownership costs ($/hr)]],SUM(Implements712[[#This Row],[Depr ($/ac)2]:[OH ($/ac)]]))</f>
        <v>0.626744564239339</v>
      </c>
      <c r="AE69" s="163"/>
      <c r="AF69" s="144" t="s">
        <v>434</v>
      </c>
      <c r="AG69" s="163"/>
    </row>
    <row r="70" spans="2:33">
      <c r="B70" s="144" t="str">
        <f>Implements712[[#This Row],[Implement type]]&amp;", "&amp;Implements712[[#This Row],[Width]]&amp;" "&amp;Implements712[[#This Row],[Width Unit]]&amp; ", per "&amp;Implements712[[#This Row],[Use basis]]</f>
        <v>Inline bale wrapper, 60 Ft, per hour</v>
      </c>
      <c r="C70" s="170" t="s">
        <v>444</v>
      </c>
      <c r="D70" s="171">
        <v>60</v>
      </c>
      <c r="E70" s="238" t="s">
        <v>402</v>
      </c>
      <c r="F70" s="171"/>
      <c r="G70" s="170"/>
      <c r="H70" s="227">
        <v>44500</v>
      </c>
      <c r="I70" s="228">
        <v>0.1</v>
      </c>
      <c r="J70" s="174">
        <f t="shared" si="5"/>
        <v>49444.444444444445</v>
      </c>
      <c r="K70" s="198">
        <f>VLOOKUP(Implements712[[#This Row],[ASABEtype]],ASABECoefficients813[],4,FALSE)/Implements712[[#This Row],[Use (hr/yr)]]</f>
        <v>50</v>
      </c>
      <c r="L70" s="171">
        <v>100</v>
      </c>
      <c r="M70" s="176">
        <f>IF(Implements712[[#This Row],[Use basis]]="hour",,L70*(D70*P70*Q70)/8.25)</f>
        <v>0</v>
      </c>
      <c r="N70" s="177" t="s">
        <v>665</v>
      </c>
      <c r="O70" s="171" t="s">
        <v>445</v>
      </c>
      <c r="P70" s="171">
        <v>8</v>
      </c>
      <c r="Q70" s="228">
        <v>0.9</v>
      </c>
      <c r="R70" s="228">
        <v>1.1000000000000001</v>
      </c>
      <c r="S70" s="171">
        <v>200</v>
      </c>
      <c r="T70"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2.9615218382816121E-2</v>
      </c>
      <c r="U70" s="179">
        <f>Implements712[[#This Row],[TradeIn%]]*Implements712[[#This Row],[PriceL]]</f>
        <v>1464.3080200392417</v>
      </c>
      <c r="V70" s="180">
        <f>(Implements712[[#This Row],[PriceP]]-Implements712[[#This Row],[TradeIn$]])/Implements712[[#This Row],[Life (yr)]]/Implements712[[#This Row],[Use (hr/yr)]]</f>
        <v>8.6071383959921519</v>
      </c>
      <c r="W70" s="180">
        <f>((Implements712[[#This Row],[PriceP]]+Implements712[[#This Row],[TradeIn$]])/2*($BP$7+$BP$8+$BP$9)+Implements712[[#This Row],[Shed (ft^2)]]*$BP$12)/Implements712[[#This Row],[Use (hr/yr)]]</f>
        <v>21.364652448616869</v>
      </c>
      <c r="X70" s="180">
        <f>Implements712[[#This Row],[PriceL]]*(VLOOKUP(Implements712[[#This Row],[ASABEtype]],$BC$6:$BM$52,2)*(Implements712[[#This Row],[Life (yr)]]*Implements712[[#This Row],[Use (hr/yr)]]/1000)^VLOOKUP(Implements712[[#This Row],[ASABEtype]],$BC$6:$BM$52,3))/Implements712[[#This Row],[Life (yr)]]/Implements712[[#This Row],[Use (hr/yr)]]</f>
        <v>1.9480081215994607</v>
      </c>
      <c r="Y70" s="180">
        <f>Implements712[[#This Row],[Depr ($/hr)]]+Implements712[[#This Row],[OH ($/hr)]]</f>
        <v>29.971790844609021</v>
      </c>
      <c r="Z70" s="180" t="e">
        <f>(Implements712[[#This Row],[PriceP]]-Implements712[[#This Row],[TradeIn$]])/Implements712[[#This Row],[Life (yr)]]/Implements712[[#This Row],[Use (ac/yr)]]</f>
        <v>#DIV/0!</v>
      </c>
      <c r="AA70" s="201" t="e">
        <f>((Implements712[[#This Row],[PriceP]]+Implements712[[#This Row],[TradeIn$]])/2*($BP$7+$BP$8+$BP$9)+Implements712[[#This Row],[Shed (ft^2)]]*$BP$12)/Implements712[[#This Row],[Use (ac/yr)]]</f>
        <v>#DIV/0!</v>
      </c>
      <c r="AB70"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1.9480081215994607</v>
      </c>
      <c r="AC70" s="182" t="str">
        <f>IF(Implements712[[#This Row],[Use basis]]="hour","-",$BP$18/(Implements712[[#This Row],[Width]]*Implements712[[#This Row],[Speed]]*Implements712[[#This Row],[Efficiency]]))</f>
        <v>-</v>
      </c>
      <c r="AD70" s="163">
        <f>IF(Implements712[[#This Row],[Use basis]]=$N$128,Implements712[[#This Row],[Ownership costs ($/hr)]],SUM(Implements712[[#This Row],[Depr ($/ac)2]:[OH ($/ac)]]))</f>
        <v>29.971790844609021</v>
      </c>
      <c r="AE70" s="163"/>
      <c r="AF70" s="144" t="s">
        <v>434</v>
      </c>
      <c r="AG70" s="163"/>
    </row>
    <row r="71" spans="2:33">
      <c r="B71" s="144" t="str">
        <f>Implements712[[#This Row],[Implement type]]&amp;", "&amp;Implements712[[#This Row],[Width]]&amp;" "&amp;Implements712[[#This Row],[Width Unit]]&amp; ", per "&amp;Implements712[[#This Row],[Use basis]]</f>
        <v>Large rectangular baler, 30 Ft, per acre</v>
      </c>
      <c r="C71" s="170" t="s">
        <v>446</v>
      </c>
      <c r="D71" s="171">
        <v>30</v>
      </c>
      <c r="E71" s="238" t="s">
        <v>402</v>
      </c>
      <c r="F71" s="171" t="s">
        <v>447</v>
      </c>
      <c r="G71" s="171"/>
      <c r="H71" s="227">
        <v>155500</v>
      </c>
      <c r="I71" s="228">
        <v>0.2</v>
      </c>
      <c r="J71" s="174">
        <f t="shared" si="5"/>
        <v>194375</v>
      </c>
      <c r="K71" s="198">
        <f>VLOOKUP(Implements712[[#This Row],[ASABEtype]],ASABECoefficients813[],4,FALSE)/Implements712[[#This Row],[Use (hr/yr)]]</f>
        <v>20</v>
      </c>
      <c r="L71" s="171">
        <v>150</v>
      </c>
      <c r="M71" s="176">
        <f>IF(Implements712[[#This Row],[Use basis]]="hour",,L71*(D71*P71*Q71)/8.25)</f>
        <v>2618.181818181818</v>
      </c>
      <c r="N71" s="177" t="s">
        <v>654</v>
      </c>
      <c r="O71" s="171" t="s">
        <v>446</v>
      </c>
      <c r="P71" s="171">
        <v>6</v>
      </c>
      <c r="Q71" s="228">
        <v>0.8</v>
      </c>
      <c r="R71" s="228">
        <v>1.1499999999999999</v>
      </c>
      <c r="S71" s="171">
        <v>250</v>
      </c>
      <c r="T71"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0.20492136520874407</v>
      </c>
      <c r="U71" s="179">
        <f>Implements712[[#This Row],[TradeIn%]]*Implements712[[#This Row],[PriceL]]</f>
        <v>39831.590362449628</v>
      </c>
      <c r="V71" s="180">
        <f>(Implements712[[#This Row],[PriceP]]-Implements712[[#This Row],[TradeIn$]])/Implements712[[#This Row],[Life (yr)]]/Implements712[[#This Row],[Use (hr/yr)]]</f>
        <v>38.556136545850123</v>
      </c>
      <c r="W71" s="180">
        <f>((Implements712[[#This Row],[PriceP]]+Implements712[[#This Row],[TradeIn$]])/2*($BP$7+$BP$8+$BP$9)+Implements712[[#This Row],[Shed (ft^2)]]*$BP$12)/Implements712[[#This Row],[Use (hr/yr)]]</f>
        <v>57.328389237235555</v>
      </c>
      <c r="X71" s="180">
        <f>Implements712[[#This Row],[PriceL]]*(VLOOKUP(Implements712[[#This Row],[ASABEtype]],$BC$6:$BM$52,2)*(Implements712[[#This Row],[Life (yr)]]*Implements712[[#This Row],[Use (hr/yr)]]/1000)^VLOOKUP(Implements712[[#This Row],[ASABEtype]],$BC$6:$BM$52,3))/Implements712[[#This Row],[Life (yr)]]/Implements712[[#This Row],[Use (hr/yr)]]</f>
        <v>46.809867320143461</v>
      </c>
      <c r="Y71" s="180">
        <f>Implements712[[#This Row],[Depr ($/hr)]]+Implements712[[#This Row],[OH ($/hr)]]</f>
        <v>95.884525783085678</v>
      </c>
      <c r="Z71" s="180">
        <f>(Implements712[[#This Row],[PriceP]]-Implements712[[#This Row],[TradeIn$]])/Implements712[[#This Row],[Life (yr)]]/Implements712[[#This Row],[Use (ac/yr)]]</f>
        <v>2.2089453229393303</v>
      </c>
      <c r="AA71" s="201">
        <f>((Implements712[[#This Row],[PriceP]]+Implements712[[#This Row],[TradeIn$]])/2*($BP$7+$BP$8+$BP$9)+Implements712[[#This Row],[Shed (ft^2)]]*$BP$12)/Implements712[[#This Row],[Use (ac/yr)]]</f>
        <v>3.2844389667166207</v>
      </c>
      <c r="AB71"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2.6818153152165527</v>
      </c>
      <c r="AC71" s="182">
        <f>IF(Implements712[[#This Row],[Use basis]]="hour","-",$BP$18/(Implements712[[#This Row],[Width]]*Implements712[[#This Row],[Speed]]*Implements712[[#This Row],[Efficiency]]))</f>
        <v>5.7291666666666664E-2</v>
      </c>
      <c r="AD71" s="163">
        <f>IF(Implements712[[#This Row],[Use basis]]=$N$128,Implements712[[#This Row],[Ownership costs ($/hr)]],SUM(Implements712[[#This Row],[Depr ($/ac)2]:[OH ($/ac)]]))</f>
        <v>5.4933842896559515</v>
      </c>
      <c r="AE71" s="240">
        <v>35</v>
      </c>
      <c r="AF71" s="144" t="s">
        <v>434</v>
      </c>
      <c r="AG71" s="163"/>
    </row>
    <row r="72" spans="2:33">
      <c r="B72" s="144" t="str">
        <f>Implements712[[#This Row],[Implement type]]&amp;", "&amp;Implements712[[#This Row],[Width]]&amp;" "&amp;Implements712[[#This Row],[Width Unit]]&amp; ", per "&amp;Implements712[[#This Row],[Use basis]]</f>
        <v>Large rectangular baler, 30 Ft, per acre</v>
      </c>
      <c r="C72" s="170" t="s">
        <v>446</v>
      </c>
      <c r="D72" s="171">
        <v>30</v>
      </c>
      <c r="E72" s="238" t="s">
        <v>402</v>
      </c>
      <c r="F72" s="171" t="s">
        <v>448</v>
      </c>
      <c r="G72" s="171"/>
      <c r="H72" s="227">
        <v>188000</v>
      </c>
      <c r="I72" s="228">
        <v>0.2</v>
      </c>
      <c r="J72" s="174">
        <f t="shared" si="5"/>
        <v>235000</v>
      </c>
      <c r="K72" s="198">
        <f>VLOOKUP(Implements712[[#This Row],[ASABEtype]],ASABECoefficients813[],4,FALSE)/Implements712[[#This Row],[Use (hr/yr)]]</f>
        <v>20</v>
      </c>
      <c r="L72" s="171">
        <v>150</v>
      </c>
      <c r="M72" s="176">
        <f>IF(Implements712[[#This Row],[Use basis]]="hour",,L72*(D72*P72*Q72)/8.25)</f>
        <v>2618.181818181818</v>
      </c>
      <c r="N72" s="177" t="s">
        <v>654</v>
      </c>
      <c r="O72" s="171" t="s">
        <v>446</v>
      </c>
      <c r="P72" s="171">
        <v>6</v>
      </c>
      <c r="Q72" s="228">
        <v>0.8</v>
      </c>
      <c r="R72" s="228">
        <v>1.1499999999999999</v>
      </c>
      <c r="S72" s="171">
        <v>250</v>
      </c>
      <c r="T72"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0.20492136520874407</v>
      </c>
      <c r="U72" s="179">
        <f>Implements712[[#This Row],[TradeIn%]]*Implements712[[#This Row],[PriceL]]</f>
        <v>48156.52082405486</v>
      </c>
      <c r="V72" s="180">
        <f>(Implements712[[#This Row],[PriceP]]-Implements712[[#This Row],[TradeIn$]])/Implements712[[#This Row],[Life (yr)]]/Implements712[[#This Row],[Use (hr/yr)]]</f>
        <v>46.614493058648378</v>
      </c>
      <c r="W72" s="180">
        <f>((Implements712[[#This Row],[PriceP]]+Implements712[[#This Row],[TradeIn$]])/2*($BP$7+$BP$8+$BP$9)+Implements712[[#This Row],[Shed (ft^2)]]*$BP$12)/Implements712[[#This Row],[Use (hr/yr)]]</f>
        <v>69.031535969562398</v>
      </c>
      <c r="X72" s="180">
        <f>Implements712[[#This Row],[PriceL]]*(VLOOKUP(Implements712[[#This Row],[ASABEtype]],$BC$6:$BM$52,2)*(Implements712[[#This Row],[Life (yr)]]*Implements712[[#This Row],[Use (hr/yr)]]/1000)^VLOOKUP(Implements712[[#This Row],[ASABEtype]],$BC$6:$BM$52,3))/Implements712[[#This Row],[Life (yr)]]/Implements712[[#This Row],[Use (hr/yr)]]</f>
        <v>56.59328010409628</v>
      </c>
      <c r="Y72" s="180">
        <f>Implements712[[#This Row],[Depr ($/hr)]]+Implements712[[#This Row],[OH ($/hr)]]</f>
        <v>115.64602902821078</v>
      </c>
      <c r="Z72" s="180">
        <f>(Implements712[[#This Row],[PriceP]]-Implements712[[#This Row],[TradeIn$]])/Implements712[[#This Row],[Life (yr)]]/Implements712[[#This Row],[Use (ac/yr)]]</f>
        <v>2.6706219981517303</v>
      </c>
      <c r="AA72" s="201">
        <f>((Implements712[[#This Row],[PriceP]]+Implements712[[#This Row],[TradeIn$]])/2*($BP$7+$BP$8+$BP$9)+Implements712[[#This Row],[Shed (ft^2)]]*$BP$12)/Implements712[[#This Row],[Use (ac/yr)]]</f>
        <v>3.954931748256179</v>
      </c>
      <c r="AB72"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3.2423233392971826</v>
      </c>
      <c r="AC72" s="182">
        <f>IF(Implements712[[#This Row],[Use basis]]="hour","-",$BP$18/(Implements712[[#This Row],[Width]]*Implements712[[#This Row],[Speed]]*Implements712[[#This Row],[Efficiency]]))</f>
        <v>5.7291666666666664E-2</v>
      </c>
      <c r="AD72" s="163">
        <f>IF(Implements712[[#This Row],[Use basis]]=$N$128,Implements712[[#This Row],[Ownership costs ($/hr)]],SUM(Implements712[[#This Row],[Depr ($/ac)2]:[OH ($/ac)]]))</f>
        <v>6.6255537464079097</v>
      </c>
      <c r="AE72" s="240">
        <v>36</v>
      </c>
      <c r="AF72" s="144" t="s">
        <v>434</v>
      </c>
      <c r="AG72" s="163"/>
    </row>
    <row r="73" spans="2:33">
      <c r="B73" s="144" t="str">
        <f>Implements712[[#This Row],[Implement type]]&amp;", "&amp;Implements712[[#This Row],[Width]]&amp;" "&amp;Implements712[[#This Row],[Width Unit]]&amp; ", per "&amp;Implements712[[#This Row],[Use basis]]</f>
        <v>Round baler w/net wrap, 30 Ft, per acre</v>
      </c>
      <c r="C73" s="238" t="s">
        <v>449</v>
      </c>
      <c r="D73" s="171">
        <v>30</v>
      </c>
      <c r="E73" s="238" t="s">
        <v>402</v>
      </c>
      <c r="F73" s="171" t="s">
        <v>450</v>
      </c>
      <c r="G73" s="171"/>
      <c r="H73" s="227">
        <v>78000</v>
      </c>
      <c r="I73" s="228">
        <v>0.2</v>
      </c>
      <c r="J73" s="174">
        <f t="shared" si="5"/>
        <v>97500</v>
      </c>
      <c r="K73" s="198">
        <f>VLOOKUP(Implements712[[#This Row],[ASABEtype]],ASABECoefficients813[],4,FALSE)/Implements712[[#This Row],[Use (hr/yr)]]</f>
        <v>15</v>
      </c>
      <c r="L73" s="171">
        <v>100</v>
      </c>
      <c r="M73" s="176">
        <f>IF(Implements712[[#This Row],[Use basis]]="hour",,L73*(D73*P73*Q73)/8.25)</f>
        <v>1363.6363636363637</v>
      </c>
      <c r="N73" s="177" t="s">
        <v>654</v>
      </c>
      <c r="O73" s="171" t="s">
        <v>451</v>
      </c>
      <c r="P73" s="171">
        <v>5</v>
      </c>
      <c r="Q73" s="228">
        <v>0.75</v>
      </c>
      <c r="R73" s="228">
        <v>1.1499999999999999</v>
      </c>
      <c r="S73" s="171">
        <v>120</v>
      </c>
      <c r="T73"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0.26890234728499196</v>
      </c>
      <c r="U73" s="179">
        <f>Implements712[[#This Row],[TradeIn%]]*Implements712[[#This Row],[PriceL]]</f>
        <v>26217.978860286716</v>
      </c>
      <c r="V73" s="180">
        <f>(Implements712[[#This Row],[PriceP]]-Implements712[[#This Row],[TradeIn$]])/Implements712[[#This Row],[Life (yr)]]/Implements712[[#This Row],[Use (hr/yr)]]</f>
        <v>34.521347426475522</v>
      </c>
      <c r="W73" s="180">
        <f>((Implements712[[#This Row],[PriceP]]+Implements712[[#This Row],[TradeIn$]])/2*($BP$7+$BP$8+$BP$9)+Implements712[[#This Row],[Shed (ft^2)]]*$BP$12)/Implements712[[#This Row],[Use (hr/yr)]]</f>
        <v>45.773730909923287</v>
      </c>
      <c r="X73" s="180">
        <f>Implements712[[#This Row],[PriceL]]*(VLOOKUP(Implements712[[#This Row],[ASABEtype]],$BC$6:$BM$52,2)*(Implements712[[#This Row],[Life (yr)]]*Implements712[[#This Row],[Use (hr/yr)]]/1000)^VLOOKUP(Implements712[[#This Row],[ASABEtype]],$BC$6:$BM$52,3))/Implements712[[#This Row],[Life (yr)]]/Implements712[[#This Row],[Use (hr/yr)]]</f>
        <v>57.989061283307144</v>
      </c>
      <c r="Y73" s="180">
        <f>Implements712[[#This Row],[Depr ($/hr)]]+Implements712[[#This Row],[OH ($/hr)]]</f>
        <v>80.295078336398802</v>
      </c>
      <c r="Z73" s="180">
        <f>(Implements712[[#This Row],[PriceP]]-Implements712[[#This Row],[TradeIn$]])/Implements712[[#This Row],[Life (yr)]]/Implements712[[#This Row],[Use (ac/yr)]]</f>
        <v>2.531565477941538</v>
      </c>
      <c r="AA73" s="201">
        <f>((Implements712[[#This Row],[PriceP]]+Implements712[[#This Row],[TradeIn$]])/2*($BP$7+$BP$8+$BP$9)+Implements712[[#This Row],[Shed (ft^2)]]*$BP$12)/Implements712[[#This Row],[Use (ac/yr)]]</f>
        <v>3.3567402667277073</v>
      </c>
      <c r="AB73"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4.2525311607758569</v>
      </c>
      <c r="AC73" s="182">
        <f>IF(Implements712[[#This Row],[Use basis]]="hour","-",$BP$18/(Implements712[[#This Row],[Width]]*Implements712[[#This Row],[Speed]]*Implements712[[#This Row],[Efficiency]]))</f>
        <v>7.3333333333333334E-2</v>
      </c>
      <c r="AD73" s="163">
        <f>IF(Implements712[[#This Row],[Use basis]]=$N$128,Implements712[[#This Row],[Ownership costs ($/hr)]],SUM(Implements712[[#This Row],[Depr ($/ac)2]:[OH ($/ac)]]))</f>
        <v>5.8883057446692453</v>
      </c>
      <c r="AE73" s="240">
        <v>34</v>
      </c>
      <c r="AF73" s="144" t="s">
        <v>434</v>
      </c>
      <c r="AG73" s="163"/>
    </row>
    <row r="74" spans="2:33">
      <c r="B74" s="144" t="str">
        <f>Implements712[[#This Row],[Implement type]]&amp;", "&amp;Implements712[[#This Row],[Width]]&amp;" "&amp;Implements712[[#This Row],[Width Unit]]&amp; ", per "&amp;Implements712[[#This Row],[Use basis]]</f>
        <v>Round baler, 30 Ft, per acre</v>
      </c>
      <c r="C74" s="238" t="s">
        <v>452</v>
      </c>
      <c r="D74" s="171">
        <v>30</v>
      </c>
      <c r="E74" s="238" t="s">
        <v>402</v>
      </c>
      <c r="F74" s="171" t="s">
        <v>828</v>
      </c>
      <c r="G74" s="171"/>
      <c r="H74" s="227">
        <v>39000</v>
      </c>
      <c r="I74" s="228">
        <v>0.2</v>
      </c>
      <c r="J74" s="174">
        <f t="shared" si="5"/>
        <v>48750</v>
      </c>
      <c r="K74" s="198">
        <f>VLOOKUP(Implements712[[#This Row],[ASABEtype]],ASABECoefficients813[],4,FALSE)/Implements712[[#This Row],[Use (hr/yr)]]</f>
        <v>15</v>
      </c>
      <c r="L74" s="171">
        <v>100</v>
      </c>
      <c r="M74" s="176">
        <f>IF(Implements712[[#This Row],[Use basis]]="hour",,L74*(D74*P74*Q74)/8.25)</f>
        <v>1181.8181818181818</v>
      </c>
      <c r="N74" s="177" t="s">
        <v>654</v>
      </c>
      <c r="O74" s="171" t="s">
        <v>451</v>
      </c>
      <c r="P74" s="171">
        <v>5</v>
      </c>
      <c r="Q74" s="228">
        <v>0.65</v>
      </c>
      <c r="R74" s="228">
        <v>1.1499999999999999</v>
      </c>
      <c r="S74" s="171">
        <v>120</v>
      </c>
      <c r="T74"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0.26890234728499196</v>
      </c>
      <c r="U74" s="179">
        <f>Implements712[[#This Row],[TradeIn%]]*Implements712[[#This Row],[PriceL]]</f>
        <v>13108.989430143358</v>
      </c>
      <c r="V74" s="180">
        <f>(Implements712[[#This Row],[PriceP]]-Implements712[[#This Row],[TradeIn$]])/Implements712[[#This Row],[Life (yr)]]/Implements712[[#This Row],[Use (hr/yr)]]</f>
        <v>17.260673713237761</v>
      </c>
      <c r="W74" s="180">
        <f>((Implements712[[#This Row],[PriceP]]+Implements712[[#This Row],[TradeIn$]])/2*($BP$7+$BP$8+$BP$9)+Implements712[[#This Row],[Shed (ft^2)]]*$BP$12)/Implements712[[#This Row],[Use (hr/yr)]]</f>
        <v>23.366865454961644</v>
      </c>
      <c r="X74" s="180">
        <f>Implements712[[#This Row],[PriceL]]*(VLOOKUP(Implements712[[#This Row],[ASABEtype]],$BC$6:$BM$52,2)*(Implements712[[#This Row],[Life (yr)]]*Implements712[[#This Row],[Use (hr/yr)]]/1000)^VLOOKUP(Implements712[[#This Row],[ASABEtype]],$BC$6:$BM$52,3))/Implements712[[#This Row],[Life (yr)]]/Implements712[[#This Row],[Use (hr/yr)]]</f>
        <v>28.994530641653572</v>
      </c>
      <c r="Y74" s="180">
        <f>Implements712[[#This Row],[Depr ($/hr)]]+Implements712[[#This Row],[OH ($/hr)]]</f>
        <v>40.627539168199405</v>
      </c>
      <c r="Z74" s="180">
        <f>(Implements712[[#This Row],[PriceP]]-Implements712[[#This Row],[TradeIn$]])/Implements712[[#This Row],[Life (yr)]]/Implements712[[#This Row],[Use (ac/yr)]]</f>
        <v>1.4605185449662721</v>
      </c>
      <c r="AA74" s="201">
        <f>((Implements712[[#This Row],[PriceP]]+Implements712[[#This Row],[TradeIn$]])/2*($BP$7+$BP$8+$BP$9)+Implements712[[#This Row],[Shed (ft^2)]]*$BP$12)/Implements712[[#This Row],[Use (ac/yr)]]</f>
        <v>1.9771963077275239</v>
      </c>
      <c r="AB74"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2.4533833619860719</v>
      </c>
      <c r="AC74" s="182">
        <f>IF(Implements712[[#This Row],[Use basis]]="hour","-",$BP$18/(Implements712[[#This Row],[Width]]*Implements712[[#This Row],[Speed]]*Implements712[[#This Row],[Efficiency]]))</f>
        <v>8.461538461538462E-2</v>
      </c>
      <c r="AD74" s="163">
        <f>IF(Implements712[[#This Row],[Use basis]]=$N$128,Implements712[[#This Row],[Ownership costs ($/hr)]],SUM(Implements712[[#This Row],[Depr ($/ac)2]:[OH ($/ac)]]))</f>
        <v>3.4377148526937962</v>
      </c>
      <c r="AE74" s="240">
        <v>33</v>
      </c>
      <c r="AF74" s="144" t="s">
        <v>434</v>
      </c>
      <c r="AG74" s="163"/>
    </row>
    <row r="75" spans="2:33">
      <c r="B75" s="144" t="str">
        <f>Implements712[[#This Row],[Implement type]]&amp;", "&amp;Implements712[[#This Row],[Width]]&amp;" "&amp;Implements712[[#This Row],[Width Unit]]&amp; ", per "&amp;Implements712[[#This Row],[Use basis]]</f>
        <v>Small square baler, twine tie, 20 Ft, per acre</v>
      </c>
      <c r="C75" s="170" t="s">
        <v>453</v>
      </c>
      <c r="D75" s="171">
        <v>20</v>
      </c>
      <c r="E75" s="238" t="s">
        <v>402</v>
      </c>
      <c r="F75" s="171" t="s">
        <v>40</v>
      </c>
      <c r="G75" s="171" t="s">
        <v>40</v>
      </c>
      <c r="H75" s="227">
        <v>36000</v>
      </c>
      <c r="I75" s="228">
        <v>0.2</v>
      </c>
      <c r="J75" s="174">
        <f t="shared" si="5"/>
        <v>45000</v>
      </c>
      <c r="K75" s="198">
        <f>VLOOKUP(Implements712[[#This Row],[ASABEtype]],ASABECoefficients813[],4,FALSE)/Implements712[[#This Row],[Use (hr/yr)]]</f>
        <v>20</v>
      </c>
      <c r="L75" s="171">
        <v>100</v>
      </c>
      <c r="M75" s="176">
        <f>IF(Implements712[[#This Row],[Use basis]]="hour",,L75*(D75*P75*Q75)/8.25)</f>
        <v>775.75757575757575</v>
      </c>
      <c r="N75" s="177" t="s">
        <v>654</v>
      </c>
      <c r="O75" s="171" t="s">
        <v>454</v>
      </c>
      <c r="P75" s="171">
        <v>4</v>
      </c>
      <c r="Q75" s="228">
        <v>0.8</v>
      </c>
      <c r="R75" s="228">
        <v>1.1499999999999999</v>
      </c>
      <c r="S75" s="171">
        <v>184</v>
      </c>
      <c r="T75"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0.20492136520874407</v>
      </c>
      <c r="U75" s="179">
        <f>Implements712[[#This Row],[TradeIn%]]*Implements712[[#This Row],[PriceL]]</f>
        <v>9221.4614343934827</v>
      </c>
      <c r="V75" s="180">
        <f>(Implements712[[#This Row],[PriceP]]-Implements712[[#This Row],[TradeIn$]])/Implements712[[#This Row],[Life (yr)]]/Implements712[[#This Row],[Use (hr/yr)]]</f>
        <v>13.389269282803259</v>
      </c>
      <c r="W75" s="180">
        <f>((Implements712[[#This Row],[PriceP]]+Implements712[[#This Row],[TradeIn$]])/2*($BP$7+$BP$8+$BP$9)+Implements712[[#This Row],[Shed (ft^2)]]*$BP$12)/Implements712[[#This Row],[Use (hr/yr)]]</f>
        <v>20.917228416789193</v>
      </c>
      <c r="X75" s="180">
        <f>Implements712[[#This Row],[PriceL]]*(VLOOKUP(Implements712[[#This Row],[ASABEtype]],$BC$6:$BM$52,2)*(Implements712[[#This Row],[Life (yr)]]*Implements712[[#This Row],[Use (hr/yr)]]/1000)^VLOOKUP(Implements712[[#This Row],[ASABEtype]],$BC$6:$BM$52,3))/Implements712[[#This Row],[Life (yr)]]/Implements712[[#This Row],[Use (hr/yr)]]</f>
        <v>18.020396660229768</v>
      </c>
      <c r="Y75" s="180">
        <f>Implements712[[#This Row],[Depr ($/hr)]]+Implements712[[#This Row],[OH ($/hr)]]</f>
        <v>34.306497699592455</v>
      </c>
      <c r="Z75" s="180">
        <f>(Implements712[[#This Row],[PriceP]]-Implements712[[#This Row],[TradeIn$]])/Implements712[[#This Row],[Life (yr)]]/Implements712[[#This Row],[Use (ac/yr)]]</f>
        <v>1.7259604934863577</v>
      </c>
      <c r="AA75" s="201">
        <f>((Implements712[[#This Row],[PriceP]]+Implements712[[#This Row],[TradeIn$]])/2*($BP$7+$BP$8+$BP$9)+Implements712[[#This Row],[Shed (ft^2)]]*$BP$12)/Implements712[[#This Row],[Use (ac/yr)]]</f>
        <v>2.6963614756017322</v>
      </c>
      <c r="AB75"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2.3229417569827437</v>
      </c>
      <c r="AC75" s="182">
        <f>IF(Implements712[[#This Row],[Use basis]]="hour","-",$BP$18/(Implements712[[#This Row],[Width]]*Implements712[[#This Row],[Speed]]*Implements712[[#This Row],[Efficiency]]))</f>
        <v>0.12890625</v>
      </c>
      <c r="AD75" s="163">
        <f>IF(Implements712[[#This Row],[Use basis]]=$N$128,Implements712[[#This Row],[Ownership costs ($/hr)]],SUM(Implements712[[#This Row],[Depr ($/ac)2]:[OH ($/ac)]]))</f>
        <v>4.4223219690880899</v>
      </c>
      <c r="AE75" s="240">
        <v>32</v>
      </c>
      <c r="AF75" s="144" t="s">
        <v>434</v>
      </c>
      <c r="AG75" s="163"/>
    </row>
    <row r="76" spans="2:33">
      <c r="B76" s="144" t="str">
        <f>Implements712[[#This Row],[Implement type]]&amp;", "&amp;Implements712[[#This Row],[Width]]&amp;" "&amp;Implements712[[#This Row],[Width Unit]]&amp; ", per "&amp;Implements712[[#This Row],[Use basis]]</f>
        <v>Rotary Mower (brush hog), 15 Ft Folding, per acre</v>
      </c>
      <c r="C76" s="170" t="s">
        <v>455</v>
      </c>
      <c r="D76" s="171">
        <v>15</v>
      </c>
      <c r="E76" s="238" t="s">
        <v>421</v>
      </c>
      <c r="F76" s="171"/>
      <c r="G76" s="170"/>
      <c r="H76" s="227">
        <v>26700</v>
      </c>
      <c r="I76" s="228">
        <v>0.1</v>
      </c>
      <c r="J76" s="174">
        <f t="shared" si="5"/>
        <v>29666.666666666664</v>
      </c>
      <c r="K76" s="198">
        <f>VLOOKUP(Implements712[[#This Row],[ASABEtype]],ASABECoefficients813[],4,FALSE)/Implements712[[#This Row],[Use (hr/yr)]]</f>
        <v>20</v>
      </c>
      <c r="L76" s="171">
        <v>100</v>
      </c>
      <c r="M76" s="176">
        <f>IF(Implements712[[#This Row],[Use basis]]="hour",,L76*(D76*P76*Q76)/8.25)</f>
        <v>818.18181818181813</v>
      </c>
      <c r="N76" s="177" t="s">
        <v>654</v>
      </c>
      <c r="O76" s="171" t="s">
        <v>433</v>
      </c>
      <c r="P76" s="171">
        <v>5</v>
      </c>
      <c r="Q76" s="228">
        <v>0.9</v>
      </c>
      <c r="R76" s="228">
        <v>1.05</v>
      </c>
      <c r="S76" s="171">
        <v>130</v>
      </c>
      <c r="T76"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0.19822562048629366</v>
      </c>
      <c r="U76" s="179">
        <f>Implements712[[#This Row],[TradeIn%]]*Implements712[[#This Row],[PriceL]]</f>
        <v>5880.6934077600445</v>
      </c>
      <c r="V76" s="180">
        <f>(Implements712[[#This Row],[PriceP]]-Implements712[[#This Row],[TradeIn$]])/Implements712[[#This Row],[Life (yr)]]/Implements712[[#This Row],[Use (hr/yr)]]</f>
        <v>10.409653296119977</v>
      </c>
      <c r="W76" s="180">
        <f>((Implements712[[#This Row],[PriceP]]+Implements712[[#This Row],[TradeIn$]])/2*($BP$7+$BP$8+$BP$9)+Implements712[[#This Row],[Shed (ft^2)]]*$BP$12)/Implements712[[#This Row],[Use (hr/yr)]]</f>
        <v>15.049698165336817</v>
      </c>
      <c r="X76" s="180">
        <f>Implements712[[#This Row],[PriceL]]*(VLOOKUP(Implements712[[#This Row],[ASABEtype]],$BC$6:$BM$52,2)*(Implements712[[#This Row],[Life (yr)]]*Implements712[[#This Row],[Use (hr/yr)]]/1000)^VLOOKUP(Implements712[[#This Row],[ASABEtype]],$BC$6:$BM$52,3))/Implements712[[#This Row],[Life (yr)]]/Implements712[[#This Row],[Use (hr/yr)]]</f>
        <v>26.106666666666666</v>
      </c>
      <c r="Y76" s="180">
        <f>Implements712[[#This Row],[Depr ($/hr)]]+Implements712[[#This Row],[OH ($/hr)]]</f>
        <v>25.459351461456794</v>
      </c>
      <c r="Z76" s="180">
        <f>(Implements712[[#This Row],[PriceP]]-Implements712[[#This Row],[TradeIn$]])/Implements712[[#This Row],[Life (yr)]]/Implements712[[#This Row],[Use (ac/yr)]]</f>
        <v>1.272290958414664</v>
      </c>
      <c r="AA76" s="201">
        <f>((Implements712[[#This Row],[PriceP]]+Implements712[[#This Row],[TradeIn$]])/2*($BP$7+$BP$8+$BP$9)+Implements712[[#This Row],[Shed (ft^2)]]*$BP$12)/Implements712[[#This Row],[Use (ac/yr)]]</f>
        <v>1.8394075535411667</v>
      </c>
      <c r="AB76"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3.1908148148148148</v>
      </c>
      <c r="AC76" s="182">
        <f>IF(Implements712[[#This Row],[Use basis]]="hour","-",$BP$18/(Implements712[[#This Row],[Width]]*Implements712[[#This Row],[Speed]]*Implements712[[#This Row],[Efficiency]]))</f>
        <v>0.12222222222222222</v>
      </c>
      <c r="AD76" s="163">
        <f>IF(Implements712[[#This Row],[Use basis]]=$N$128,Implements712[[#This Row],[Ownership costs ($/hr)]],SUM(Implements712[[#This Row],[Depr ($/ac)2]:[OH ($/ac)]]))</f>
        <v>3.1116985119558307</v>
      </c>
      <c r="AE76" s="163"/>
      <c r="AF76" s="144" t="s">
        <v>456</v>
      </c>
      <c r="AG76" s="163"/>
    </row>
    <row r="77" spans="2:33">
      <c r="B77" s="144" t="str">
        <f>Implements712[[#This Row],[Implement type]]&amp;", "&amp;Implements712[[#This Row],[Width]]&amp;" "&amp;Implements712[[#This Row],[Width Unit]]&amp; ", per "&amp;Implements712[[#This Row],[Use basis]]</f>
        <v>Stalk shredder, 20 Ft, per acre</v>
      </c>
      <c r="C77" s="170" t="s">
        <v>457</v>
      </c>
      <c r="D77" s="171">
        <v>20</v>
      </c>
      <c r="E77" s="238" t="s">
        <v>402</v>
      </c>
      <c r="F77" s="171"/>
      <c r="G77" s="171"/>
      <c r="H77" s="227">
        <v>42500</v>
      </c>
      <c r="I77" s="228">
        <v>0.1</v>
      </c>
      <c r="J77" s="174">
        <f t="shared" si="5"/>
        <v>47222.222222222219</v>
      </c>
      <c r="K77" s="198">
        <f>VLOOKUP(Implements712[[#This Row],[ASABEtype]],ASABECoefficients813[],4,FALSE)/Implements712[[#This Row],[Use (hr/yr)]]</f>
        <v>8</v>
      </c>
      <c r="L77" s="171">
        <v>150</v>
      </c>
      <c r="M77" s="176">
        <f>IF(Implements712[[#This Row],[Use basis]]="hour",,L77*(D77*P77*Q77)/8.25)</f>
        <v>1309.090909090909</v>
      </c>
      <c r="N77" s="177" t="s">
        <v>654</v>
      </c>
      <c r="O77" s="171" t="s">
        <v>428</v>
      </c>
      <c r="P77" s="171">
        <v>4</v>
      </c>
      <c r="Q77" s="228">
        <v>0.9</v>
      </c>
      <c r="R77" s="228">
        <v>1.05</v>
      </c>
      <c r="S77" s="171">
        <v>231</v>
      </c>
      <c r="T77"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0.48973960516304388</v>
      </c>
      <c r="U77" s="179">
        <f>Implements712[[#This Row],[TradeIn%]]*Implements712[[#This Row],[PriceL]]</f>
        <v>23126.592466032627</v>
      </c>
      <c r="V77" s="180">
        <f>(Implements712[[#This Row],[PriceP]]-Implements712[[#This Row],[TradeIn$]])/Implements712[[#This Row],[Life (yr)]]/Implements712[[#This Row],[Use (hr/yr)]]</f>
        <v>16.144506278306142</v>
      </c>
      <c r="W77" s="180">
        <f>((Implements712[[#This Row],[PriceP]]+Implements712[[#This Row],[TradeIn$]])/2*($BP$7+$BP$8+$BP$9)+Implements712[[#This Row],[Shed (ft^2)]]*$BP$12)/Implements712[[#This Row],[Use (hr/yr)]]</f>
        <v>20.044956506929353</v>
      </c>
      <c r="X77" s="180">
        <f>Implements712[[#This Row],[PriceL]]*(VLOOKUP(Implements712[[#This Row],[ASABEtype]],$BC$6:$BM$52,2)*(Implements712[[#This Row],[Life (yr)]]*Implements712[[#This Row],[Use (hr/yr)]]/1000)^VLOOKUP(Implements712[[#This Row],[ASABEtype]],$BC$6:$BM$52,3))/Implements712[[#This Row],[Life (yr)]]/Implements712[[#This Row],[Use (hr/yr)]]</f>
        <v>14.22253300833065</v>
      </c>
      <c r="Y77" s="180">
        <f>Implements712[[#This Row],[Depr ($/hr)]]+Implements712[[#This Row],[OH ($/hr)]]</f>
        <v>36.189462785235492</v>
      </c>
      <c r="Z77" s="180">
        <f>(Implements712[[#This Row],[PriceP]]-Implements712[[#This Row],[TradeIn$]])/Implements712[[#This Row],[Life (yr)]]/Implements712[[#This Row],[Use (ac/yr)]]</f>
        <v>1.8498913443892457</v>
      </c>
      <c r="AA77" s="201">
        <f>((Implements712[[#This Row],[PriceP]]+Implements712[[#This Row],[TradeIn$]])/2*($BP$7+$BP$8+$BP$9)+Implements712[[#This Row],[Shed (ft^2)]]*$BP$12)/Implements712[[#This Row],[Use (ac/yr)]]</f>
        <v>2.2968179330856553</v>
      </c>
      <c r="AB77"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1.6296652405378871</v>
      </c>
      <c r="AC77" s="182">
        <f>IF(Implements712[[#This Row],[Use basis]]="hour","-",$BP$18/(Implements712[[#This Row],[Width]]*Implements712[[#This Row],[Speed]]*Implements712[[#This Row],[Efficiency]]))</f>
        <v>0.11458333333333333</v>
      </c>
      <c r="AD77" s="163">
        <f>IF(Implements712[[#This Row],[Use basis]]=$N$128,Implements712[[#This Row],[Ownership costs ($/hr)]],SUM(Implements712[[#This Row],[Depr ($/ac)2]:[OH ($/ac)]]))</f>
        <v>4.1467092774749013</v>
      </c>
      <c r="AE77" s="240">
        <v>27</v>
      </c>
      <c r="AF77" s="144" t="s">
        <v>456</v>
      </c>
      <c r="AG77" s="163"/>
    </row>
    <row r="78" spans="2:33">
      <c r="B78" s="144" t="str">
        <f>Implements712[[#This Row],[Implement type]]&amp;", "&amp;Implements712[[#This Row],[Width]]&amp;" "&amp;Implements712[[#This Row],[Width Unit]]</f>
        <v>Finish mower, 7 Ft</v>
      </c>
      <c r="C78" s="170" t="s">
        <v>829</v>
      </c>
      <c r="D78" s="171">
        <v>7</v>
      </c>
      <c r="E78" s="170" t="s">
        <v>402</v>
      </c>
      <c r="F78" s="171"/>
      <c r="G78" s="170"/>
      <c r="H78" s="172">
        <v>3200</v>
      </c>
      <c r="I78" s="173">
        <v>0.2</v>
      </c>
      <c r="J78" s="174">
        <f t="shared" si="5"/>
        <v>4000</v>
      </c>
      <c r="K78" s="198">
        <f>VLOOKUP(Implements712[[#This Row],[ASABEtype]],ASABECoefficients813[],4,FALSE)/Implements712[[#This Row],[Use (hr/yr)]]</f>
        <v>40</v>
      </c>
      <c r="L78" s="171">
        <v>50</v>
      </c>
      <c r="M78" s="176">
        <f>IF(Implements712[[#This Row],[Use basis]]="hour",,L78*(D78*P78*Q78)/8.25)</f>
        <v>152.72727272727272</v>
      </c>
      <c r="N78" s="177" t="s">
        <v>654</v>
      </c>
      <c r="O78" s="171" t="s">
        <v>433</v>
      </c>
      <c r="P78" s="171">
        <v>4</v>
      </c>
      <c r="Q78" s="173">
        <v>0.9</v>
      </c>
      <c r="R78" s="173">
        <v>1.1000000000000001</v>
      </c>
      <c r="S78" s="171">
        <v>50</v>
      </c>
      <c r="T78"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7.4326521794109174E-2</v>
      </c>
      <c r="U78" s="179">
        <f>Implements712[[#This Row],[TradeIn%]]*Implements712[[#This Row],[PriceL]]</f>
        <v>297.30608717643668</v>
      </c>
      <c r="V78" s="180">
        <f>(Implements712[[#This Row],[PriceP]]-Implements712[[#This Row],[TradeIn$]])/Implements712[[#This Row],[Life (yr)]]/Implements712[[#This Row],[Use (hr/yr)]]</f>
        <v>1.4513469564117818</v>
      </c>
      <c r="W78" s="201">
        <f>((Implements712[[#This Row],[PriceP]]+Implements712[[#This Row],[TradeIn$]])/2*($BP$7+$BP$8+$BP$9)+Implements712[[#This Row],[Shed (ft^2)]]*$BP$12)/Implements712[[#This Row],[Use (hr/yr)]]</f>
        <v>3.8076832349717353</v>
      </c>
      <c r="X78" s="180">
        <f>Implements712[[#This Row],[PriceL]]*(VLOOKUP(Implements712[[#This Row],[ASABEtype]],$BC$6:$BM$52,2)*(Implements712[[#This Row],[Life (yr)]]*Implements712[[#This Row],[Use (hr/yr)]]/1000)^VLOOKUP(Implements712[[#This Row],[ASABEtype]],$BC$6:$BM$52,3))/Implements712[[#This Row],[Life (yr)]]/Implements712[[#This Row],[Use (hr/yr)]]</f>
        <v>3.52</v>
      </c>
      <c r="Y78" s="180">
        <f>Implements712[[#This Row],[Depr ($/hr)]]+Implements712[[#This Row],[OH ($/hr)]]</f>
        <v>5.2590301913835171</v>
      </c>
      <c r="Z78" s="180">
        <f>(Implements712[[#This Row],[PriceP]]-Implements712[[#This Row],[TradeIn$]])/Implements712[[#This Row],[Life (yr)]]/Implements712[[#This Row],[Use (ac/yr)]]</f>
        <v>0.47514334882528575</v>
      </c>
      <c r="AA78" s="201">
        <f>((Implements712[[#This Row],[PriceP]]+Implements712[[#This Row],[TradeIn$]])/2*($BP$7+$BP$8+$BP$9)+Implements712[[#This Row],[Shed (ft^2)]]*$BP$12)/Implements712[[#This Row],[Use (ac/yr)]]</f>
        <v>1.2465629638300324</v>
      </c>
      <c r="AB78"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1.1523809523809525</v>
      </c>
      <c r="AC78" s="182">
        <f>IF(Implements712[[#This Row],[Use basis]]="hour","-",$BP$18/(Implements712[[#This Row],[Width]]*Implements712[[#This Row],[Speed]]*Implements712[[#This Row],[Efficiency]]))</f>
        <v>0.32738095238095238</v>
      </c>
      <c r="AD78" s="163">
        <f>IF(Implements712[[#This Row],[Use basis]]=$N$128,Implements712[[#This Row],[Ownership costs ($/hr)]],SUM(Implements712[[#This Row],[Depr ($/ac)2]:[OH ($/ac)]]))</f>
        <v>1.7217063126553183</v>
      </c>
      <c r="AE78" s="163"/>
      <c r="AF78" s="163" t="s">
        <v>456</v>
      </c>
      <c r="AG78" s="163"/>
    </row>
    <row r="79" spans="2:33">
      <c r="B79" s="144" t="str">
        <f>Implements712[[#This Row],[Implement type]]&amp;", "&amp;Implements712[[#This Row],[Width]]&amp;" "&amp;Implements712[[#This Row],[Width Unit]]</f>
        <v>Peanut digger, 15 Ft</v>
      </c>
      <c r="C79" s="170" t="s">
        <v>625</v>
      </c>
      <c r="D79" s="171">
        <v>15</v>
      </c>
      <c r="E79" s="170" t="s">
        <v>402</v>
      </c>
      <c r="F79" s="171"/>
      <c r="G79" s="171"/>
      <c r="H79" s="172">
        <v>38500</v>
      </c>
      <c r="I79" s="173">
        <v>0.2</v>
      </c>
      <c r="J79" s="174">
        <f t="shared" si="5"/>
        <v>48125</v>
      </c>
      <c r="K79" s="198">
        <f>VLOOKUP(Implements712[[#This Row],[ASABEtype]],ASABECoefficients813[],4,FALSE)/Implements712[[#This Row],[Use (hr/yr)]]</f>
        <v>20</v>
      </c>
      <c r="L79" s="199">
        <v>100</v>
      </c>
      <c r="M79" s="176">
        <f>IF(Implements712[[#This Row],[Use basis]]="hour",,L79*(D79*P79*Q79)/8.25)</f>
        <v>490.90909090909093</v>
      </c>
      <c r="N79" s="200" t="s">
        <v>654</v>
      </c>
      <c r="O79" s="171" t="s">
        <v>473</v>
      </c>
      <c r="P79" s="171">
        <v>3</v>
      </c>
      <c r="Q79" s="173">
        <v>0.9</v>
      </c>
      <c r="R79" s="173">
        <v>1.05</v>
      </c>
      <c r="S79" s="171">
        <v>175</v>
      </c>
      <c r="T79"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0.24787241594786602</v>
      </c>
      <c r="U79" s="179">
        <f>Implements712[[#This Row],[TradeIn%]]*Implements712[[#This Row],[PriceL]]</f>
        <v>11928.860017491052</v>
      </c>
      <c r="V79" s="180">
        <f>(Implements712[[#This Row],[PriceP]]-Implements712[[#This Row],[TradeIn$]])/Implements712[[#This Row],[Life (yr)]]/Implements712[[#This Row],[Use (hr/yr)]]</f>
        <v>13.285569991254475</v>
      </c>
      <c r="W79" s="201">
        <f>((Implements712[[#This Row],[PriceP]]+Implements712[[#This Row],[TradeIn$]])/2*($BP$7+$BP$8+$BP$9)+Implements712[[#This Row],[Shed (ft^2)]]*$BP$12)/Implements712[[#This Row],[Use (hr/yr)]]</f>
        <v>23.084409807521151</v>
      </c>
      <c r="X79" s="180">
        <f>Implements712[[#This Row],[PriceL]]*(VLOOKUP(Implements712[[#This Row],[ASABEtype]],$BC$6:$BM$52,2)*(Implements712[[#This Row],[Life (yr)]]*Implements712[[#This Row],[Use (hr/yr)]]/1000)^VLOOKUP(Implements712[[#This Row],[ASABEtype]],$BC$6:$BM$52,3))/Implements712[[#This Row],[Life (yr)]]/Implements712[[#This Row],[Use (hr/yr)]]</f>
        <v>18.795576833638982</v>
      </c>
      <c r="Y79" s="180">
        <f>Implements712[[#This Row],[Depr ($/hr)]]+Implements712[[#This Row],[OH ($/hr)]]</f>
        <v>36.369979798775624</v>
      </c>
      <c r="Z79" s="180">
        <f>(Implements712[[#This Row],[PriceP]]-Implements712[[#This Row],[TradeIn$]])/Implements712[[#This Row],[Life (yr)]]/Implements712[[#This Row],[Use (ac/yr)]]</f>
        <v>2.7063198130333186</v>
      </c>
      <c r="AA79" s="201">
        <f>((Implements712[[#This Row],[PriceP]]+Implements712[[#This Row],[TradeIn$]])/2*($BP$7+$BP$8+$BP$9)+Implements712[[#This Row],[Shed (ft^2)]]*$BP$12)/Implements712[[#This Row],[Use (ac/yr)]]</f>
        <v>4.7023797756061603</v>
      </c>
      <c r="AB79"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3.8287286142597927</v>
      </c>
      <c r="AC79" s="182">
        <f>IF(Implements712[[#This Row],[Use basis]]="hour","-",$BP$18/(Implements712[[#This Row],[Width]]*Implements712[[#This Row],[Speed]]*Implements712[[#This Row],[Efficiency]]))</f>
        <v>0.20370370370370369</v>
      </c>
      <c r="AD79" s="163">
        <f>IF(Implements712[[#This Row],[Use basis]]=$N$128,Implements712[[#This Row],[Ownership costs ($/hr)]],SUM(Implements712[[#This Row],[Depr ($/ac)2]:[OH ($/ac)]]))</f>
        <v>7.4086995886394789</v>
      </c>
      <c r="AE79" s="163"/>
      <c r="AF79" s="163"/>
      <c r="AG79" s="163"/>
    </row>
    <row r="80" spans="2:33">
      <c r="B80" s="144" t="str">
        <f>Implements712[[#This Row],[Implement type]]&amp;", "&amp;Implements712[[#This Row],[Width]]&amp;" "&amp;Implements712[[#This Row],[Width Unit]]</f>
        <v>Peanut digger, 24 Ft</v>
      </c>
      <c r="C80" s="170" t="s">
        <v>625</v>
      </c>
      <c r="D80" s="171">
        <v>24</v>
      </c>
      <c r="E80" s="170" t="s">
        <v>402</v>
      </c>
      <c r="F80" s="171"/>
      <c r="G80" s="171"/>
      <c r="H80" s="172">
        <v>52600</v>
      </c>
      <c r="I80" s="173">
        <v>0.2</v>
      </c>
      <c r="J80" s="174">
        <f t="shared" si="5"/>
        <v>65750</v>
      </c>
      <c r="K80" s="198">
        <f>VLOOKUP(Implements712[[#This Row],[ASABEtype]],ASABECoefficients813[],4,FALSE)/Implements712[[#This Row],[Use (hr/yr)]]</f>
        <v>20</v>
      </c>
      <c r="L80" s="199">
        <v>100</v>
      </c>
      <c r="M80" s="176">
        <f>IF(Implements712[[#This Row],[Use basis]]="hour",,L80*(D80*P80*Q80)/8.25)</f>
        <v>785.4545454545455</v>
      </c>
      <c r="N80" s="200" t="s">
        <v>654</v>
      </c>
      <c r="O80" s="171" t="s">
        <v>473</v>
      </c>
      <c r="P80" s="171">
        <v>3</v>
      </c>
      <c r="Q80" s="173">
        <v>0.9</v>
      </c>
      <c r="R80" s="173">
        <v>1.05</v>
      </c>
      <c r="S80" s="171">
        <v>200</v>
      </c>
      <c r="T80"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0.24787241594786602</v>
      </c>
      <c r="U80" s="179">
        <f>Implements712[[#This Row],[TradeIn%]]*Implements712[[#This Row],[PriceL]]</f>
        <v>16297.611348572191</v>
      </c>
      <c r="V80" s="180">
        <f>(Implements712[[#This Row],[PriceP]]-Implements712[[#This Row],[TradeIn$]])/Implements712[[#This Row],[Life (yr)]]/Implements712[[#This Row],[Use (hr/yr)]]</f>
        <v>18.151194325713906</v>
      </c>
      <c r="W80" s="201">
        <f>((Implements712[[#This Row],[PriceP]]+Implements712[[#This Row],[TradeIn$]])/2*($BP$7+$BP$8+$BP$9)+Implements712[[#This Row],[Shed (ft^2)]]*$BP$12)/Implements712[[#This Row],[Use (hr/yr)]]</f>
        <v>31.22597287988604</v>
      </c>
      <c r="X80" s="180">
        <f>Implements712[[#This Row],[PriceL]]*(VLOOKUP(Implements712[[#This Row],[ASABEtype]],$BC$6:$BM$52,2)*(Implements712[[#This Row],[Life (yr)]]*Implements712[[#This Row],[Use (hr/yr)]]/1000)^VLOOKUP(Implements712[[#This Row],[ASABEtype]],$BC$6:$BM$52,3))/Implements712[[#This Row],[Life (yr)]]/Implements712[[#This Row],[Use (hr/yr)]]</f>
        <v>25.679151725958718</v>
      </c>
      <c r="Y80" s="180">
        <f>Implements712[[#This Row],[Depr ($/hr)]]+Implements712[[#This Row],[OH ($/hr)]]</f>
        <v>49.377167205599946</v>
      </c>
      <c r="Z80" s="180">
        <f>(Implements712[[#This Row],[PriceP]]-Implements712[[#This Row],[TradeIn$]])/Implements712[[#This Row],[Life (yr)]]/Implements712[[#This Row],[Use (ac/yr)]]</f>
        <v>2.3109159442459832</v>
      </c>
      <c r="AA80" s="201">
        <f>((Implements712[[#This Row],[PriceP]]+Implements712[[#This Row],[TradeIn$]])/2*($BP$7+$BP$8+$BP$9)+Implements712[[#This Row],[Shed (ft^2)]]*$BP$12)/Implements712[[#This Row],[Use (ac/yr)]]</f>
        <v>3.9755289546151205</v>
      </c>
      <c r="AB80"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3.2693364465919661</v>
      </c>
      <c r="AC80" s="182">
        <f>IF(Implements712[[#This Row],[Use basis]]="hour","-",$BP$18/(Implements712[[#This Row],[Width]]*Implements712[[#This Row],[Speed]]*Implements712[[#This Row],[Efficiency]]))</f>
        <v>0.12731481481481483</v>
      </c>
      <c r="AD80" s="163">
        <f>IF(Implements712[[#This Row],[Use basis]]=$N$128,Implements712[[#This Row],[Ownership costs ($/hr)]],SUM(Implements712[[#This Row],[Depr ($/ac)2]:[OH ($/ac)]]))</f>
        <v>6.2864448988611041</v>
      </c>
      <c r="AE80" s="163"/>
      <c r="AF80" s="163" t="s">
        <v>645</v>
      </c>
      <c r="AG80" s="163"/>
    </row>
    <row r="81" spans="2:33" hidden="1">
      <c r="C81" s="170"/>
      <c r="D81" s="171"/>
      <c r="E81" s="170"/>
      <c r="F81" s="171"/>
      <c r="G81" s="170"/>
      <c r="H81" s="172"/>
      <c r="I81" s="173"/>
      <c r="J81" s="174">
        <f t="shared" si="5"/>
        <v>0</v>
      </c>
      <c r="K81" s="198" t="e">
        <f>VLOOKUP(Implements712[[#This Row],[ASABEtype]],ASABECoefficients813[],4,FALSE)/Implements712[[#This Row],[Use (hr/yr)]]</f>
        <v>#N/A</v>
      </c>
      <c r="L81" s="199"/>
      <c r="M81" s="176">
        <f>IF(Implements712[[#This Row],[Use basis]]="hour",,L81*(D81*P81*Q81)/8.25)</f>
        <v>0</v>
      </c>
      <c r="N81" s="200"/>
      <c r="O81" s="171"/>
      <c r="P81" s="171"/>
      <c r="Q81" s="173"/>
      <c r="R81" s="173"/>
      <c r="S81" s="171"/>
      <c r="T81" s="178" t="e">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#N/A</v>
      </c>
      <c r="U81" s="179" t="e">
        <f>Implements712[[#This Row],[TradeIn%]]*Implements712[[#This Row],[PriceL]]</f>
        <v>#N/A</v>
      </c>
      <c r="V81" s="180" t="e">
        <f>(Implements712[[#This Row],[PriceP]]-Implements712[[#This Row],[TradeIn$]])/Implements712[[#This Row],[Life (yr)]]/Implements712[[#This Row],[Use (hr/yr)]]</f>
        <v>#N/A</v>
      </c>
      <c r="W81" s="201" t="e">
        <f>((Implements712[[#This Row],[PriceP]]+Implements712[[#This Row],[TradeIn$]])/2*($BP$7+$BP$8+$BP$9)+Implements712[[#This Row],[Shed (ft^2)]]*$BP$12)/Implements712[[#This Row],[Use (hr/yr)]]</f>
        <v>#N/A</v>
      </c>
      <c r="X81" s="180" t="e">
        <f>Implements712[[#This Row],[PriceL]]*(VLOOKUP(Implements712[[#This Row],[ASABEtype]],$BC$6:$BM$52,2)*(Implements712[[#This Row],[Life (yr)]]*Implements712[[#This Row],[Use (hr/yr)]]/1000)^VLOOKUP(Implements712[[#This Row],[ASABEtype]],$BC$6:$BM$52,3))/Implements712[[#This Row],[Life (yr)]]/Implements712[[#This Row],[Use (hr/yr)]]</f>
        <v>#N/A</v>
      </c>
      <c r="Y81" s="180" t="e">
        <f>Implements712[[#This Row],[Depr ($/hr)]]+Implements712[[#This Row],[OH ($/hr)]]</f>
        <v>#N/A</v>
      </c>
      <c r="Z81" s="180" t="e">
        <f>(Implements712[[#This Row],[PriceP]]-Implements712[[#This Row],[TradeIn$]])/Implements712[[#This Row],[Life (yr)]]/Implements712[[#This Row],[Use (ac/yr)]]</f>
        <v>#N/A</v>
      </c>
      <c r="AA81" s="201" t="e">
        <f>((Implements712[[#This Row],[PriceP]]+Implements712[[#This Row],[TradeIn$]])/2*($BP$7+$BP$8+$BP$9)+Implements712[[#This Row],[Shed (ft^2)]]*$BP$12)/Implements712[[#This Row],[Use (ac/yr)]]</f>
        <v>#N/A</v>
      </c>
      <c r="AB81" s="181" t="e">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#N/A</v>
      </c>
      <c r="AC81" s="182" t="e">
        <f>IF(Implements712[[#This Row],[Use basis]]="hour","-",$BP$18/(Implements712[[#This Row],[Width]]*Implements712[[#This Row],[Speed]]*Implements712[[#This Row],[Efficiency]]))</f>
        <v>#DIV/0!</v>
      </c>
      <c r="AD81" s="163" t="e">
        <f>IF(Implements712[[#This Row],[Use basis]]=$N$128,Implements712[[#This Row],[Ownership costs ($/hr)]],SUM(Implements712[[#This Row],[Depr ($/ac)2]:[OH ($/ac)]]))</f>
        <v>#N/A</v>
      </c>
      <c r="AE81" s="163"/>
      <c r="AF81" s="163"/>
      <c r="AG81" s="163"/>
    </row>
    <row r="82" spans="2:33" hidden="1">
      <c r="C82" s="170"/>
      <c r="D82" s="171"/>
      <c r="E82" s="170"/>
      <c r="F82" s="171"/>
      <c r="G82" s="170"/>
      <c r="H82" s="172"/>
      <c r="I82" s="173"/>
      <c r="J82" s="174">
        <f t="shared" si="5"/>
        <v>0</v>
      </c>
      <c r="K82" s="198" t="e">
        <f>VLOOKUP(Implements712[[#This Row],[ASABEtype]],ASABECoefficients813[],4,FALSE)/Implements712[[#This Row],[Use (hr/yr)]]</f>
        <v>#N/A</v>
      </c>
      <c r="L82" s="199"/>
      <c r="M82" s="176">
        <f>IF(Implements712[[#This Row],[Use basis]]="hour",,L82*(D82*P82*Q82)/8.25)</f>
        <v>0</v>
      </c>
      <c r="N82" s="200"/>
      <c r="O82" s="171"/>
      <c r="P82" s="171"/>
      <c r="Q82" s="173"/>
      <c r="R82" s="173"/>
      <c r="S82" s="171"/>
      <c r="T82" s="178" t="e">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#N/A</v>
      </c>
      <c r="U82" s="179" t="e">
        <f>Implements712[[#This Row],[TradeIn%]]*Implements712[[#This Row],[PriceL]]</f>
        <v>#N/A</v>
      </c>
      <c r="V82" s="180" t="e">
        <f>(Implements712[[#This Row],[PriceP]]-Implements712[[#This Row],[TradeIn$]])/Implements712[[#This Row],[Life (yr)]]/Implements712[[#This Row],[Use (hr/yr)]]</f>
        <v>#N/A</v>
      </c>
      <c r="W82" s="201" t="e">
        <f>((Implements712[[#This Row],[PriceP]]+Implements712[[#This Row],[TradeIn$]])/2*($BP$7+$BP$8+$BP$9)+Implements712[[#This Row],[Shed (ft^2)]]*$BP$12)/Implements712[[#This Row],[Use (hr/yr)]]</f>
        <v>#N/A</v>
      </c>
      <c r="X82" s="180" t="e">
        <f>Implements712[[#This Row],[PriceL]]*(VLOOKUP(Implements712[[#This Row],[ASABEtype]],$BC$6:$BM$52,2)*(Implements712[[#This Row],[Life (yr)]]*Implements712[[#This Row],[Use (hr/yr)]]/1000)^VLOOKUP(Implements712[[#This Row],[ASABEtype]],$BC$6:$BM$52,3))/Implements712[[#This Row],[Life (yr)]]/Implements712[[#This Row],[Use (hr/yr)]]</f>
        <v>#N/A</v>
      </c>
      <c r="Y82" s="180" t="e">
        <f>Implements712[[#This Row],[Depr ($/hr)]]+Implements712[[#This Row],[OH ($/hr)]]</f>
        <v>#N/A</v>
      </c>
      <c r="Z82" s="180" t="e">
        <f>(Implements712[[#This Row],[PriceP]]-Implements712[[#This Row],[TradeIn$]])/Implements712[[#This Row],[Life (yr)]]/Implements712[[#This Row],[Use (ac/yr)]]</f>
        <v>#N/A</v>
      </c>
      <c r="AA82" s="201" t="e">
        <f>((Implements712[[#This Row],[PriceP]]+Implements712[[#This Row],[TradeIn$]])/2*($BP$7+$BP$8+$BP$9)+Implements712[[#This Row],[Shed (ft^2)]]*$BP$12)/Implements712[[#This Row],[Use (ac/yr)]]</f>
        <v>#N/A</v>
      </c>
      <c r="AB82" s="181" t="e">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#N/A</v>
      </c>
      <c r="AC82" s="182" t="e">
        <f>IF(Implements712[[#This Row],[Use basis]]="hour","-",$BP$18/(Implements712[[#This Row],[Width]]*Implements712[[#This Row],[Speed]]*Implements712[[#This Row],[Efficiency]]))</f>
        <v>#DIV/0!</v>
      </c>
      <c r="AD82" s="163" t="e">
        <f>IF(Implements712[[#This Row],[Use basis]]=$N$128,Implements712[[#This Row],[Ownership costs ($/hr)]],SUM(Implements712[[#This Row],[Depr ($/ac)2]:[OH ($/ac)]]))</f>
        <v>#N/A</v>
      </c>
      <c r="AE82" s="163"/>
      <c r="AF82" s="163"/>
      <c r="AG82" s="163"/>
    </row>
    <row r="83" spans="2:33" hidden="1">
      <c r="C83" s="170"/>
      <c r="D83" s="171"/>
      <c r="E83" s="170"/>
      <c r="F83" s="171"/>
      <c r="G83" s="170"/>
      <c r="H83" s="172"/>
      <c r="I83" s="173"/>
      <c r="J83" s="174">
        <f t="shared" si="5"/>
        <v>0</v>
      </c>
      <c r="K83" s="198" t="e">
        <f>VLOOKUP(Implements712[[#This Row],[ASABEtype]],ASABECoefficients813[],4,FALSE)/Implements712[[#This Row],[Use (hr/yr)]]</f>
        <v>#N/A</v>
      </c>
      <c r="L83" s="199"/>
      <c r="M83" s="176">
        <f>IF(Implements712[[#This Row],[Use basis]]="hour",,L83*(D83*P83*Q83)/8.25)</f>
        <v>0</v>
      </c>
      <c r="N83" s="200"/>
      <c r="O83" s="171"/>
      <c r="P83" s="171"/>
      <c r="Q83" s="173"/>
      <c r="R83" s="173"/>
      <c r="S83" s="171"/>
      <c r="T83" s="178" t="e">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#N/A</v>
      </c>
      <c r="U83" s="179" t="e">
        <f>Implements712[[#This Row],[TradeIn%]]*Implements712[[#This Row],[PriceL]]</f>
        <v>#N/A</v>
      </c>
      <c r="V83" s="180" t="e">
        <f>(Implements712[[#This Row],[PriceP]]-Implements712[[#This Row],[TradeIn$]])/Implements712[[#This Row],[Life (yr)]]/Implements712[[#This Row],[Use (hr/yr)]]</f>
        <v>#N/A</v>
      </c>
      <c r="W83" s="201" t="e">
        <f>((Implements712[[#This Row],[PriceP]]+Implements712[[#This Row],[TradeIn$]])/2*($BP$7+$BP$8+$BP$9)+Implements712[[#This Row],[Shed (ft^2)]]*$BP$12)/Implements712[[#This Row],[Use (hr/yr)]]</f>
        <v>#N/A</v>
      </c>
      <c r="X83" s="180" t="e">
        <f>Implements712[[#This Row],[PriceL]]*(VLOOKUP(Implements712[[#This Row],[ASABEtype]],$BC$6:$BM$52,2)*(Implements712[[#This Row],[Life (yr)]]*Implements712[[#This Row],[Use (hr/yr)]]/1000)^VLOOKUP(Implements712[[#This Row],[ASABEtype]],$BC$6:$BM$52,3))/Implements712[[#This Row],[Life (yr)]]/Implements712[[#This Row],[Use (hr/yr)]]</f>
        <v>#N/A</v>
      </c>
      <c r="Y83" s="180" t="e">
        <f>Implements712[[#This Row],[Depr ($/hr)]]+Implements712[[#This Row],[OH ($/hr)]]</f>
        <v>#N/A</v>
      </c>
      <c r="Z83" s="180" t="e">
        <f>(Implements712[[#This Row],[PriceP]]-Implements712[[#This Row],[TradeIn$]])/Implements712[[#This Row],[Life (yr)]]/Implements712[[#This Row],[Use (ac/yr)]]</f>
        <v>#N/A</v>
      </c>
      <c r="AA83" s="201" t="e">
        <f>((Implements712[[#This Row],[PriceP]]+Implements712[[#This Row],[TradeIn$]])/2*($BP$7+$BP$8+$BP$9)+Implements712[[#This Row],[Shed (ft^2)]]*$BP$12)/Implements712[[#This Row],[Use (ac/yr)]]</f>
        <v>#N/A</v>
      </c>
      <c r="AB83" s="181" t="e">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#N/A</v>
      </c>
      <c r="AC83" s="182" t="e">
        <f>IF(Implements712[[#This Row],[Use basis]]="hour","-",$BP$18/(Implements712[[#This Row],[Width]]*Implements712[[#This Row],[Speed]]*Implements712[[#This Row],[Efficiency]]))</f>
        <v>#DIV/0!</v>
      </c>
      <c r="AD83" s="163" t="e">
        <f>IF(Implements712[[#This Row],[Use basis]]=$N$128,Implements712[[#This Row],[Ownership costs ($/hr)]],SUM(Implements712[[#This Row],[Depr ($/ac)2]:[OH ($/ac)]]))</f>
        <v>#N/A</v>
      </c>
      <c r="AE83" s="163"/>
      <c r="AF83" s="163"/>
      <c r="AG83" s="163"/>
    </row>
    <row r="84" spans="2:33">
      <c r="B84" s="144" t="str">
        <f>Implements712[[#This Row],[Implement type]]&amp;", "&amp;Implements712[[#This Row],[Width]]&amp;" "&amp;Implements712[[#This Row],[Width Unit]]</f>
        <v>Peanut combine, 18 ft</v>
      </c>
      <c r="C84" s="170" t="s">
        <v>626</v>
      </c>
      <c r="D84" s="171">
        <v>18</v>
      </c>
      <c r="E84" s="170" t="s">
        <v>640</v>
      </c>
      <c r="F84" s="171"/>
      <c r="G84" s="170"/>
      <c r="H84" s="172">
        <v>224000</v>
      </c>
      <c r="I84" s="173">
        <v>0.2</v>
      </c>
      <c r="J84" s="174">
        <f t="shared" si="5"/>
        <v>280000</v>
      </c>
      <c r="K84" s="198">
        <f>VLOOKUP(Implements712[[#This Row],[ASABEtype]],ASABECoefficients813[],4,FALSE)/Implements712[[#This Row],[Use (hr/yr)]]</f>
        <v>20</v>
      </c>
      <c r="L84" s="199">
        <v>150</v>
      </c>
      <c r="M84" s="176">
        <f>IF(Implements712[[#This Row],[Use basis]]="hour",,L84*(D84*P84*Q84)/8.25)</f>
        <v>654.5454545454545</v>
      </c>
      <c r="N84" s="200" t="s">
        <v>654</v>
      </c>
      <c r="O84" s="171" t="s">
        <v>425</v>
      </c>
      <c r="P84" s="171">
        <v>2.5</v>
      </c>
      <c r="Q84" s="173">
        <v>0.8</v>
      </c>
      <c r="R84" s="173">
        <v>1.1499999999999999</v>
      </c>
      <c r="S84" s="171">
        <v>500</v>
      </c>
      <c r="T84"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7.0827473143356634E-2</v>
      </c>
      <c r="U84" s="179">
        <f>Implements712[[#This Row],[TradeIn%]]*Implements712[[#This Row],[PriceL]]</f>
        <v>19831.692480139856</v>
      </c>
      <c r="V84" s="180">
        <f>(Implements712[[#This Row],[PriceP]]-Implements712[[#This Row],[TradeIn$]])/Implements712[[#This Row],[Life (yr)]]/Implements712[[#This Row],[Use (hr/yr)]]</f>
        <v>68.056102506620064</v>
      </c>
      <c r="W84" s="201">
        <f>((Implements712[[#This Row],[PriceP]]+Implements712[[#This Row],[TradeIn$]])/2*($BP$7+$BP$8+$BP$9)+Implements712[[#This Row],[Shed (ft^2)]]*$BP$12)/Implements712[[#This Row],[Use (hr/yr)]]</f>
        <v>72.565085177640086</v>
      </c>
      <c r="X84" s="180">
        <f>Implements712[[#This Row],[PriceL]]*(VLOOKUP(Implements712[[#This Row],[ASABEtype]],$BC$6:$BM$52,2)*(Implements712[[#This Row],[Life (yr)]]*Implements712[[#This Row],[Use (hr/yr)]]/1000)^VLOOKUP(Implements712[[#This Row],[ASABEtype]],$BC$6:$BM$52,3))/Implements712[[#This Row],[Life (yr)]]/Implements712[[#This Row],[Use (hr/yr)]]</f>
        <v>37.501738647539206</v>
      </c>
      <c r="Y84" s="180">
        <f>Implements712[[#This Row],[Depr ($/hr)]]+Implements712[[#This Row],[OH ($/hr)]]</f>
        <v>140.62118768426015</v>
      </c>
      <c r="Z84" s="180">
        <f>(Implements712[[#This Row],[PriceP]]-Implements712[[#This Row],[TradeIn$]])/Implements712[[#This Row],[Life (yr)]]/Implements712[[#This Row],[Use (ac/yr)]]</f>
        <v>15.596190157767097</v>
      </c>
      <c r="AA84" s="201">
        <f>((Implements712[[#This Row],[PriceP]]+Implements712[[#This Row],[TradeIn$]])/2*($BP$7+$BP$8+$BP$9)+Implements712[[#This Row],[Shed (ft^2)]]*$BP$12)/Implements712[[#This Row],[Use (ac/yr)]]</f>
        <v>16.629498686542519</v>
      </c>
      <c r="AB84"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8.594148440061069</v>
      </c>
      <c r="AC84" s="182">
        <f>IF(Implements712[[#This Row],[Use basis]]="hour","-",$BP$18/(Implements712[[#This Row],[Width]]*Implements712[[#This Row],[Speed]]*Implements712[[#This Row],[Efficiency]]))</f>
        <v>0.22916666666666666</v>
      </c>
      <c r="AD84" s="163">
        <f>IF(Implements712[[#This Row],[Use basis]]=$N$128,Implements712[[#This Row],[Ownership costs ($/hr)]],SUM(Implements712[[#This Row],[Depr ($/ac)2]:[OH ($/ac)]]))</f>
        <v>32.225688844309616</v>
      </c>
      <c r="AE84" s="163"/>
      <c r="AF84" s="163" t="s">
        <v>645</v>
      </c>
      <c r="AG84" s="163"/>
    </row>
    <row r="85" spans="2:33">
      <c r="B85" s="144" t="str">
        <f>Implements712[[#This Row],[Implement type]]&amp;", "&amp;Implements712[[#This Row],[Width]]&amp;" "&amp;Implements712[[#This Row],[Width Unit]]</f>
        <v xml:space="preserve">Peanut dump cart,  </v>
      </c>
      <c r="C85" s="170" t="s">
        <v>627</v>
      </c>
      <c r="D85" s="171"/>
      <c r="E85" s="170"/>
      <c r="F85" s="171"/>
      <c r="G85" s="170" t="s">
        <v>641</v>
      </c>
      <c r="H85" s="172">
        <v>43500</v>
      </c>
      <c r="I85" s="173">
        <v>0.15</v>
      </c>
      <c r="J85" s="174">
        <f t="shared" ref="J85:J121" si="8">H85/(1-I85)</f>
        <v>51176.470588235294</v>
      </c>
      <c r="K85" s="198">
        <f>VLOOKUP(Implements712[[#This Row],[ASABEtype]],ASABECoefficients813[],4,FALSE)/Implements712[[#This Row],[Use (hr/yr)]]</f>
        <v>22.222222222222221</v>
      </c>
      <c r="L85" s="199">
        <v>90</v>
      </c>
      <c r="M85" s="176">
        <f>IF(Implements712[[#This Row],[Use basis]]="hour",,L85*(D85*P85*Q85)/8.25)</f>
        <v>0</v>
      </c>
      <c r="N85" s="200" t="s">
        <v>665</v>
      </c>
      <c r="O85" s="171" t="s">
        <v>541</v>
      </c>
      <c r="P85" s="171">
        <v>3</v>
      </c>
      <c r="Q85" s="173">
        <v>0.85</v>
      </c>
      <c r="R85" s="173">
        <v>1.05</v>
      </c>
      <c r="S85" s="171">
        <v>300</v>
      </c>
      <c r="T85"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0.18159121940694209</v>
      </c>
      <c r="U85" s="179">
        <f>Implements712[[#This Row],[TradeIn%]]*Implements712[[#This Row],[PriceL]]</f>
        <v>9293.1976990611547</v>
      </c>
      <c r="V85" s="180">
        <f>(Implements712[[#This Row],[PriceP]]-Implements712[[#This Row],[TradeIn$]])/Implements712[[#This Row],[Life (yr)]]/Implements712[[#This Row],[Use (hr/yr)]]</f>
        <v>17.10340115046942</v>
      </c>
      <c r="W85" s="201">
        <f>((Implements712[[#This Row],[PriceP]]+Implements712[[#This Row],[TradeIn$]])/2*($BP$7+$BP$8+$BP$9)+Implements712[[#This Row],[Shed (ft^2)]]*$BP$12)/Implements712[[#This Row],[Use (hr/yr)]]</f>
        <v>27.890083345106994</v>
      </c>
      <c r="X85" s="180">
        <f>Implements712[[#This Row],[PriceL]]*(VLOOKUP(Implements712[[#This Row],[ASABEtype]],$BC$6:$BM$52,2)*(Implements712[[#This Row],[Life (yr)]]*Implements712[[#This Row],[Use (hr/yr)]]/1000)^VLOOKUP(Implements712[[#This Row],[ASABEtype]],$BC$6:$BM$52,3))/Implements712[[#This Row],[Life (yr)]]/Implements712[[#This Row],[Use (hr/yr)]]</f>
        <v>12.411043885779261</v>
      </c>
      <c r="Y85" s="180">
        <f>Implements712[[#This Row],[Depr ($/hr)]]+Implements712[[#This Row],[OH ($/hr)]]</f>
        <v>44.993484495576411</v>
      </c>
      <c r="Z85" s="180" t="e">
        <f>(Implements712[[#This Row],[PriceP]]-Implements712[[#This Row],[TradeIn$]])/Implements712[[#This Row],[Life (yr)]]/Implements712[[#This Row],[Use (ac/yr)]]</f>
        <v>#DIV/0!</v>
      </c>
      <c r="AA85" s="201" t="e">
        <f>((Implements712[[#This Row],[PriceP]]+Implements712[[#This Row],[TradeIn$]])/2*($BP$7+$BP$8+$BP$9)+Implements712[[#This Row],[Shed (ft^2)]]*$BP$12)/Implements712[[#This Row],[Use (ac/yr)]]</f>
        <v>#DIV/0!</v>
      </c>
      <c r="AB85"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12.411043885779261</v>
      </c>
      <c r="AC85" s="182" t="str">
        <f>IF(Implements712[[#This Row],[Use basis]]="hour","-",$BP$18/(Implements712[[#This Row],[Width]]*Implements712[[#This Row],[Speed]]*Implements712[[#This Row],[Efficiency]]))</f>
        <v>-</v>
      </c>
      <c r="AD85" s="163">
        <f>IF(Implements712[[#This Row],[Use basis]]=$N$128,Implements712[[#This Row],[Ownership costs ($/hr)]],SUM(Implements712[[#This Row],[Depr ($/ac)2]:[OH ($/ac)]]))</f>
        <v>44.993484495576411</v>
      </c>
      <c r="AE85" s="163"/>
      <c r="AF85" s="163" t="s">
        <v>645</v>
      </c>
      <c r="AG85" s="163"/>
    </row>
    <row r="86" spans="2:33">
      <c r="B86" s="144" t="str">
        <f>Implements712[[#This Row],[Implement type]]&amp;", "&amp;Implements712[[#This Row],[Width]]&amp;" "&amp;Implements712[[#This Row],[Width Unit]]&amp; ", per "&amp;Implements712[[#This Row],[Use basis]]</f>
        <v>Air seeder drill w/cart, 52 Ft Folding, per acre</v>
      </c>
      <c r="C86" s="170" t="s">
        <v>458</v>
      </c>
      <c r="D86" s="171">
        <v>52</v>
      </c>
      <c r="E86" s="238" t="str">
        <f>IF(D86&gt;15,"Ft Folding","Ft")</f>
        <v>Ft Folding</v>
      </c>
      <c r="F86" s="171"/>
      <c r="G86" s="171"/>
      <c r="H86" s="227">
        <v>280500</v>
      </c>
      <c r="I86" s="228">
        <v>0.15</v>
      </c>
      <c r="J86" s="174">
        <f t="shared" si="8"/>
        <v>330000</v>
      </c>
      <c r="K86" s="198">
        <f>VLOOKUP(Implements712[[#This Row],[ASABEtype]],ASABECoefficients813[],4,FALSE)/Implements712[[#This Row],[Use (hr/yr)]]</f>
        <v>10</v>
      </c>
      <c r="L86" s="171">
        <v>150</v>
      </c>
      <c r="M86" s="176">
        <f>IF(Implements712[[#This Row],[Use basis]]="hour",,L86*(D86*P86*Q86)/8.25)</f>
        <v>3545.4545454545455</v>
      </c>
      <c r="N86" s="177" t="s">
        <v>654</v>
      </c>
      <c r="O86" s="171" t="s">
        <v>459</v>
      </c>
      <c r="P86" s="171">
        <v>5</v>
      </c>
      <c r="Q86" s="228">
        <v>0.75</v>
      </c>
      <c r="R86" s="228">
        <v>1.1000000000000001</v>
      </c>
      <c r="S86" s="171">
        <v>270</v>
      </c>
      <c r="T86"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0.26183208523105223</v>
      </c>
      <c r="U86" s="179">
        <f>Implements712[[#This Row],[TradeIn%]]*Implements712[[#This Row],[PriceL]]</f>
        <v>86404.588126247239</v>
      </c>
      <c r="V86" s="180">
        <f>(Implements712[[#This Row],[PriceP]]-Implements712[[#This Row],[TradeIn$]])/Implements712[[#This Row],[Life (yr)]]/Implements712[[#This Row],[Use (hr/yr)]]</f>
        <v>129.39694124916852</v>
      </c>
      <c r="W86" s="180">
        <f>((Implements712[[#This Row],[PriceP]]+Implements712[[#This Row],[TradeIn$]])/2*($BP$7+$BP$8+$BP$9)+Implements712[[#This Row],[Shed (ft^2)]]*$BP$12)/Implements712[[#This Row],[Use (hr/yr)]]</f>
        <v>106.61931526285753</v>
      </c>
      <c r="X86" s="180">
        <f>Implements712[[#This Row],[PriceL]]*(VLOOKUP(Implements712[[#This Row],[ASABEtype]],$BC$6:$BM$52,2)*(Implements712[[#This Row],[Life (yr)]]*Implements712[[#This Row],[Use (hr/yr)]]/1000)^VLOOKUP(Implements712[[#This Row],[ASABEtype]],$BC$6:$BM$52,3))/Implements712[[#This Row],[Life (yr)]]/Implements712[[#This Row],[Use (hr/yr)]]</f>
        <v>164.95455144839786</v>
      </c>
      <c r="Y86" s="180">
        <f>Implements712[[#This Row],[Depr ($/hr)]]+Implements712[[#This Row],[OH ($/hr)]]</f>
        <v>236.01625651202605</v>
      </c>
      <c r="Z86" s="180">
        <f>(Implements712[[#This Row],[PriceP]]-Implements712[[#This Row],[TradeIn$]])/Implements712[[#This Row],[Life (yr)]]/Implements712[[#This Row],[Use (ac/yr)]]</f>
        <v>5.4744859759263607</v>
      </c>
      <c r="AA86" s="201">
        <f>((Implements712[[#This Row],[PriceP]]+Implements712[[#This Row],[TradeIn$]])/2*($BP$7+$BP$8+$BP$9)+Implements712[[#This Row],[Shed (ft^2)]]*$BP$12)/Implements712[[#This Row],[Use (ac/yr)]]</f>
        <v>4.5108171841978182</v>
      </c>
      <c r="AB86"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6.9788464074322167</v>
      </c>
      <c r="AC86" s="182">
        <f>IF(Implements712[[#This Row],[Use basis]]="hour","-",$BP$18/(Implements712[[#This Row],[Width]]*Implements712[[#This Row],[Speed]]*Implements712[[#This Row],[Efficiency]]))</f>
        <v>4.230769230769231E-2</v>
      </c>
      <c r="AD86" s="163">
        <f>IF(Implements712[[#This Row],[Use basis]]=$N$128,Implements712[[#This Row],[Ownership costs ($/hr)]],SUM(Implements712[[#This Row],[Depr ($/ac)2]:[OH ($/ac)]]))</f>
        <v>9.9853031601241788</v>
      </c>
      <c r="AE86" s="240">
        <v>22</v>
      </c>
      <c r="AF86" s="144" t="s">
        <v>460</v>
      </c>
      <c r="AG86" s="163"/>
    </row>
    <row r="87" spans="2:33">
      <c r="B87" s="144" t="str">
        <f>Implements712[[#This Row],[Implement type]]&amp;", "&amp;Implements712[[#This Row],[Width]]&amp;" "&amp;Implements712[[#This Row],[Width Unit]]&amp; ", per "&amp;Implements712[[#This Row],[Use basis]]</f>
        <v>No-till drill, 15 Ft, per acre</v>
      </c>
      <c r="C87" s="170" t="s">
        <v>461</v>
      </c>
      <c r="D87" s="171">
        <v>15</v>
      </c>
      <c r="E87" s="238" t="str">
        <f>IF(D87&gt;15,"Ft Folding","Ft")</f>
        <v>Ft</v>
      </c>
      <c r="F87" s="171"/>
      <c r="G87" s="171"/>
      <c r="H87" s="227">
        <v>81250</v>
      </c>
      <c r="I87" s="228">
        <v>0.1</v>
      </c>
      <c r="J87" s="174">
        <f t="shared" si="8"/>
        <v>90277.777777777781</v>
      </c>
      <c r="K87" s="198">
        <f>VLOOKUP(Implements712[[#This Row],[ASABEtype]],ASABECoefficients813[],4,FALSE)/Implements712[[#This Row],[Use (hr/yr)]]</f>
        <v>15</v>
      </c>
      <c r="L87" s="171">
        <v>100</v>
      </c>
      <c r="M87" s="176">
        <f>IF(Implements712[[#This Row],[Use basis]]="hour",,L87*(D87*P87*Q87)/8.25)</f>
        <v>636.36363636363637</v>
      </c>
      <c r="N87" s="177" t="s">
        <v>654</v>
      </c>
      <c r="O87" s="171" t="s">
        <v>459</v>
      </c>
      <c r="P87" s="171">
        <v>5</v>
      </c>
      <c r="Q87" s="228">
        <v>0.7</v>
      </c>
      <c r="R87" s="228">
        <v>1.1000000000000001</v>
      </c>
      <c r="S87" s="171">
        <v>160</v>
      </c>
      <c r="T87"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0.15170208268697982</v>
      </c>
      <c r="U87" s="179">
        <f>Implements712[[#This Row],[TradeIn%]]*Implements712[[#This Row],[PriceL]]</f>
        <v>13695.326909241234</v>
      </c>
      <c r="V87" s="180">
        <f>(Implements712[[#This Row],[PriceP]]-Implements712[[#This Row],[TradeIn$]])/Implements712[[#This Row],[Life (yr)]]/Implements712[[#This Row],[Use (hr/yr)]]</f>
        <v>45.036448727172512</v>
      </c>
      <c r="W87" s="180">
        <f>((Implements712[[#This Row],[PriceP]]+Implements712[[#This Row],[TradeIn$]])/2*($BP$7+$BP$8+$BP$9)+Implements712[[#This Row],[Shed (ft^2)]]*$BP$12)/Implements712[[#This Row],[Use (hr/yr)]]</f>
        <v>42.106490570973726</v>
      </c>
      <c r="X87" s="180">
        <f>Implements712[[#This Row],[PriceL]]*(VLOOKUP(Implements712[[#This Row],[ASABEtype]],$BC$6:$BM$52,2)*(Implements712[[#This Row],[Life (yr)]]*Implements712[[#This Row],[Use (hr/yr)]]/1000)^VLOOKUP(Implements712[[#This Row],[ASABEtype]],$BC$6:$BM$52,3))/Implements712[[#This Row],[Life (yr)]]/Implements712[[#This Row],[Use (hr/yr)]]</f>
        <v>45.126455573004471</v>
      </c>
      <c r="Y87" s="180">
        <f>Implements712[[#This Row],[Depr ($/hr)]]+Implements712[[#This Row],[OH ($/hr)]]</f>
        <v>87.142939298146246</v>
      </c>
      <c r="Z87" s="180">
        <f>(Implements712[[#This Row],[PriceP]]-Implements712[[#This Row],[TradeIn$]])/Implements712[[#This Row],[Life (yr)]]/Implements712[[#This Row],[Use (ac/yr)]]</f>
        <v>7.0771562285556797</v>
      </c>
      <c r="AA87" s="201">
        <f>((Implements712[[#This Row],[PriceP]]+Implements712[[#This Row],[TradeIn$]])/2*($BP$7+$BP$8+$BP$9)+Implements712[[#This Row],[Shed (ft^2)]]*$BP$12)/Implements712[[#This Row],[Use (ac/yr)]]</f>
        <v>6.6167342325815861</v>
      </c>
      <c r="AB87"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7.0913001614721303</v>
      </c>
      <c r="AC87" s="182">
        <f>IF(Implements712[[#This Row],[Use basis]]="hour","-",$BP$18/(Implements712[[#This Row],[Width]]*Implements712[[#This Row],[Speed]]*Implements712[[#This Row],[Efficiency]]))</f>
        <v>0.15714285714285714</v>
      </c>
      <c r="AD87" s="163">
        <f>IF(Implements712[[#This Row],[Use basis]]=$N$128,Implements712[[#This Row],[Ownership costs ($/hr)]],SUM(Implements712[[#This Row],[Depr ($/ac)2]:[OH ($/ac)]]))</f>
        <v>13.693890461137265</v>
      </c>
      <c r="AE87" s="240">
        <v>23</v>
      </c>
      <c r="AF87" s="144" t="s">
        <v>460</v>
      </c>
      <c r="AG87" s="163"/>
    </row>
    <row r="88" spans="2:33">
      <c r="B88" s="144" t="str">
        <f>Implements712[[#This Row],[Implement type]]&amp;", "&amp;Implements712[[#This Row],[Width]]&amp;" "&amp;Implements712[[#This Row],[Width Unit]]&amp; ", per "&amp;Implements712[[#This Row],[Use basis]]</f>
        <v>Presswheel drill, 16 Ft, per acre</v>
      </c>
      <c r="C88" s="170" t="s">
        <v>462</v>
      </c>
      <c r="D88" s="171">
        <v>16</v>
      </c>
      <c r="E88" s="238" t="str">
        <f>IF(D88&gt;20,"Ft Folding","Ft")</f>
        <v>Ft</v>
      </c>
      <c r="F88" s="171"/>
      <c r="G88" s="171"/>
      <c r="H88" s="227">
        <v>29500</v>
      </c>
      <c r="I88" s="228">
        <v>0.05</v>
      </c>
      <c r="J88" s="174">
        <f t="shared" si="8"/>
        <v>31052.63157894737</v>
      </c>
      <c r="K88" s="198">
        <f>VLOOKUP(Implements712[[#This Row],[ASABEtype]],ASABECoefficients813[],4,FALSE)/Implements712[[#This Row],[Use (hr/yr)]]</f>
        <v>20</v>
      </c>
      <c r="L88" s="171">
        <v>75</v>
      </c>
      <c r="M88" s="176">
        <f>IF(Implements712[[#This Row],[Use basis]]="hour",,L88*(D88*P88*Q88)/8.25)</f>
        <v>509.09090909090907</v>
      </c>
      <c r="N88" s="177" t="s">
        <v>654</v>
      </c>
      <c r="O88" s="171" t="s">
        <v>459</v>
      </c>
      <c r="P88" s="171">
        <v>5</v>
      </c>
      <c r="Q88" s="228">
        <v>0.7</v>
      </c>
      <c r="R88" s="228">
        <v>1.1000000000000001</v>
      </c>
      <c r="S88" s="171">
        <v>150</v>
      </c>
      <c r="T88"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8.2537089399343885E-2</v>
      </c>
      <c r="U88" s="179">
        <f>Implements712[[#This Row],[TradeIn%]]*Implements712[[#This Row],[PriceL]]</f>
        <v>2562.9938287164682</v>
      </c>
      <c r="V88" s="180">
        <f>(Implements712[[#This Row],[PriceP]]-Implements712[[#This Row],[TradeIn$]])/Implements712[[#This Row],[Life (yr)]]/Implements712[[#This Row],[Use (hr/yr)]]</f>
        <v>17.95800411418902</v>
      </c>
      <c r="W88" s="180">
        <f>((Implements712[[#This Row],[PriceP]]+Implements712[[#This Row],[TradeIn$]])/2*($BP$7+$BP$8+$BP$9)+Implements712[[#This Row],[Shed (ft^2)]]*$BP$12)/Implements712[[#This Row],[Use (hr/yr)]]</f>
        <v>19.982783128464106</v>
      </c>
      <c r="X88" s="180">
        <f>Implements712[[#This Row],[PriceL]]*(VLOOKUP(Implements712[[#This Row],[ASABEtype]],$BC$6:$BM$52,2)*(Implements712[[#This Row],[Life (yr)]]*Implements712[[#This Row],[Use (hr/yr)]]/1000)^VLOOKUP(Implements712[[#This Row],[ASABEtype]],$BC$6:$BM$52,3))/Implements712[[#This Row],[Life (yr)]]/Implements712[[#This Row],[Use (hr/yr)]]</f>
        <v>15.522039131507933</v>
      </c>
      <c r="Y88" s="180">
        <f>Implements712[[#This Row],[Depr ($/hr)]]+Implements712[[#This Row],[OH ($/hr)]]</f>
        <v>37.94078724265313</v>
      </c>
      <c r="Z88" s="180">
        <f>(Implements712[[#This Row],[PriceP]]-Implements712[[#This Row],[TradeIn$]])/Implements712[[#This Row],[Life (yr)]]/Implements712[[#This Row],[Use (ac/yr)]]</f>
        <v>2.6455988203939182</v>
      </c>
      <c r="AA88" s="201">
        <f>((Implements712[[#This Row],[PriceP]]+Implements712[[#This Row],[TradeIn$]])/2*($BP$7+$BP$8+$BP$9)+Implements712[[#This Row],[Shed (ft^2)]]*$BP$12)/Implements712[[#This Row],[Use (ac/yr)]]</f>
        <v>2.9438921573183729</v>
      </c>
      <c r="AB88"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2.2867289791953653</v>
      </c>
      <c r="AC88" s="182">
        <f>IF(Implements712[[#This Row],[Use basis]]="hour","-",$BP$18/(Implements712[[#This Row],[Width]]*Implements712[[#This Row],[Speed]]*Implements712[[#This Row],[Efficiency]]))</f>
        <v>0.14732142857142858</v>
      </c>
      <c r="AD88" s="163">
        <f>IF(Implements712[[#This Row],[Use basis]]=$N$128,Implements712[[#This Row],[Ownership costs ($/hr)]],SUM(Implements712[[#This Row],[Depr ($/ac)2]:[OH ($/ac)]]))</f>
        <v>5.5894909777122912</v>
      </c>
      <c r="AE88" s="240">
        <v>18</v>
      </c>
      <c r="AF88" s="144" t="s">
        <v>460</v>
      </c>
      <c r="AG88" s="163"/>
    </row>
    <row r="89" spans="2:33">
      <c r="B89" s="144" t="str">
        <f>Implements712[[#This Row],[Implement type]]&amp;", "&amp;Implements712[[#This Row],[Width]]&amp;" "&amp;Implements712[[#This Row],[Width Unit]]&amp; ", per "&amp;Implements712[[#This Row],[Use basis]]</f>
        <v>Presswheel drill, 20 Ft, per acre</v>
      </c>
      <c r="C89" s="170" t="s">
        <v>462</v>
      </c>
      <c r="D89" s="171">
        <v>20</v>
      </c>
      <c r="E89" s="238" t="str">
        <f>IF(D89&gt;20,"Ft Folding","Ft")</f>
        <v>Ft</v>
      </c>
      <c r="F89" s="171"/>
      <c r="G89" s="171"/>
      <c r="H89" s="227">
        <v>35000</v>
      </c>
      <c r="I89" s="228">
        <v>0.05</v>
      </c>
      <c r="J89" s="174">
        <f t="shared" si="8"/>
        <v>36842.105263157893</v>
      </c>
      <c r="K89" s="198">
        <f>VLOOKUP(Implements712[[#This Row],[ASABEtype]],ASABECoefficients813[],4,FALSE)/Implements712[[#This Row],[Use (hr/yr)]]</f>
        <v>20</v>
      </c>
      <c r="L89" s="171">
        <v>75</v>
      </c>
      <c r="M89" s="176">
        <f>IF(Implements712[[#This Row],[Use basis]]="hour",,L89*(D89*P89*Q89)/8.25)</f>
        <v>636.36363636363637</v>
      </c>
      <c r="N89" s="177" t="s">
        <v>654</v>
      </c>
      <c r="O89" s="171" t="s">
        <v>459</v>
      </c>
      <c r="P89" s="171">
        <v>5</v>
      </c>
      <c r="Q89" s="228">
        <v>0.7</v>
      </c>
      <c r="R89" s="228">
        <v>1.1000000000000001</v>
      </c>
      <c r="S89" s="171">
        <v>185</v>
      </c>
      <c r="T89"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8.2537089399343885E-2</v>
      </c>
      <c r="U89" s="179">
        <f>Implements712[[#This Row],[TradeIn%]]*Implements712[[#This Row],[PriceL]]</f>
        <v>3040.8401357653011</v>
      </c>
      <c r="V89" s="180">
        <f>(Implements712[[#This Row],[PriceP]]-Implements712[[#This Row],[TradeIn$]])/Implements712[[#This Row],[Life (yr)]]/Implements712[[#This Row],[Use (hr/yr)]]</f>
        <v>21.306106576156466</v>
      </c>
      <c r="W89" s="180">
        <f>((Implements712[[#This Row],[PriceP]]+Implements712[[#This Row],[TradeIn$]])/2*($BP$7+$BP$8+$BP$9)+Implements712[[#This Row],[Shed (ft^2)]]*$BP$12)/Implements712[[#This Row],[Use (hr/yr)]]</f>
        <v>23.783415011172103</v>
      </c>
      <c r="X89" s="180">
        <f>Implements712[[#This Row],[PriceL]]*(VLOOKUP(Implements712[[#This Row],[ASABEtype]],$BC$6:$BM$52,2)*(Implements712[[#This Row],[Life (yr)]]*Implements712[[#This Row],[Use (hr/yr)]]/1000)^VLOOKUP(Implements712[[#This Row],[ASABEtype]],$BC$6:$BM$52,3))/Implements712[[#This Row],[Life (yr)]]/Implements712[[#This Row],[Use (hr/yr)]]</f>
        <v>18.415978630602631</v>
      </c>
      <c r="Y89" s="180">
        <f>Implements712[[#This Row],[Depr ($/hr)]]+Implements712[[#This Row],[OH ($/hr)]]</f>
        <v>45.089521587328569</v>
      </c>
      <c r="Z89" s="180">
        <f>(Implements712[[#This Row],[PriceP]]-Implements712[[#This Row],[TradeIn$]])/Implements712[[#This Row],[Life (yr)]]/Implements712[[#This Row],[Use (ac/yr)]]</f>
        <v>2.5110768464755835</v>
      </c>
      <c r="AA89" s="201">
        <f>((Implements712[[#This Row],[PriceP]]+Implements712[[#This Row],[TradeIn$]])/2*($BP$7+$BP$8+$BP$9)+Implements712[[#This Row],[Shed (ft^2)]]*$BP$12)/Implements712[[#This Row],[Use (ac/yr)]]</f>
        <v>2.8030453406024267</v>
      </c>
      <c r="AB89"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2.1704546243210241</v>
      </c>
      <c r="AC89" s="182">
        <f>IF(Implements712[[#This Row],[Use basis]]="hour","-",$BP$18/(Implements712[[#This Row],[Width]]*Implements712[[#This Row],[Speed]]*Implements712[[#This Row],[Efficiency]]))</f>
        <v>0.11785714285714285</v>
      </c>
      <c r="AD89" s="163">
        <f>IF(Implements712[[#This Row],[Use basis]]=$N$128,Implements712[[#This Row],[Ownership costs ($/hr)]],SUM(Implements712[[#This Row],[Depr ($/ac)2]:[OH ($/ac)]]))</f>
        <v>5.3141221870780102</v>
      </c>
      <c r="AE89" s="240">
        <v>19</v>
      </c>
      <c r="AF89" s="144" t="s">
        <v>460</v>
      </c>
      <c r="AG89" s="163"/>
    </row>
    <row r="90" spans="2:33">
      <c r="B90" s="144" t="str">
        <f>Implements712[[#This Row],[Implement type]]&amp;", "&amp;Implements712[[#This Row],[Width]]&amp;" "&amp;Implements712[[#This Row],[Width Unit]]&amp; ", per "&amp;Implements712[[#This Row],[Use basis]]</f>
        <v>Presswheel drill, 25 Ft Folding, per acre</v>
      </c>
      <c r="C90" s="170" t="s">
        <v>462</v>
      </c>
      <c r="D90" s="171">
        <v>25</v>
      </c>
      <c r="E90" s="238" t="str">
        <f t="shared" ref="E90:E98" si="9">IF(D90&gt;15,"Ft Folding","Ft")</f>
        <v>Ft Folding</v>
      </c>
      <c r="F90" s="171"/>
      <c r="G90" s="171"/>
      <c r="H90" s="227">
        <v>67500</v>
      </c>
      <c r="I90" s="228">
        <v>0.05</v>
      </c>
      <c r="J90" s="174">
        <f t="shared" si="8"/>
        <v>71052.631578947374</v>
      </c>
      <c r="K90" s="198">
        <f>VLOOKUP(Implements712[[#This Row],[ASABEtype]],ASABECoefficients813[],4,FALSE)/Implements712[[#This Row],[Use (hr/yr)]]</f>
        <v>20</v>
      </c>
      <c r="L90" s="171">
        <v>75</v>
      </c>
      <c r="M90" s="176">
        <f>IF(Implements712[[#This Row],[Use basis]]="hour",,L90*(D90*P90*Q90)/8.25)</f>
        <v>795.4545454545455</v>
      </c>
      <c r="N90" s="177" t="s">
        <v>654</v>
      </c>
      <c r="O90" s="171" t="s">
        <v>459</v>
      </c>
      <c r="P90" s="171">
        <v>5</v>
      </c>
      <c r="Q90" s="228">
        <v>0.7</v>
      </c>
      <c r="R90" s="228">
        <v>1.1000000000000001</v>
      </c>
      <c r="S90" s="171">
        <v>230</v>
      </c>
      <c r="T90"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8.2537089399343885E-2</v>
      </c>
      <c r="U90" s="179">
        <f>Implements712[[#This Row],[TradeIn%]]*Implements712[[#This Row],[PriceL]]</f>
        <v>5864.4774046902239</v>
      </c>
      <c r="V90" s="180">
        <f>(Implements712[[#This Row],[PriceP]]-Implements712[[#This Row],[TradeIn$]])/Implements712[[#This Row],[Life (yr)]]/Implements712[[#This Row],[Use (hr/yr)]]</f>
        <v>41.090348396873182</v>
      </c>
      <c r="W90" s="180">
        <f>((Implements712[[#This Row],[PriceP]]+Implements712[[#This Row],[TradeIn$]])/2*($BP$7+$BP$8+$BP$9)+Implements712[[#This Row],[Shed (ft^2)]]*$BP$12)/Implements712[[#This Row],[Use (hr/yr)]]</f>
        <v>44.515633712022399</v>
      </c>
      <c r="X90" s="180">
        <f>Implements712[[#This Row],[PriceL]]*(VLOOKUP(Implements712[[#This Row],[ASABEtype]],$BC$6:$BM$52,2)*(Implements712[[#This Row],[Life (yr)]]*Implements712[[#This Row],[Use (hr/yr)]]/1000)^VLOOKUP(Implements712[[#This Row],[ASABEtype]],$BC$6:$BM$52,3))/Implements712[[#This Row],[Life (yr)]]/Implements712[[#This Row],[Use (hr/yr)]]</f>
        <v>35.516530216162224</v>
      </c>
      <c r="Y90" s="180">
        <f>Implements712[[#This Row],[Depr ($/hr)]]+Implements712[[#This Row],[OH ($/hr)]]</f>
        <v>85.605982108895574</v>
      </c>
      <c r="Z90" s="180">
        <f>(Implements712[[#This Row],[PriceP]]-Implements712[[#This Row],[TradeIn$]])/Implements712[[#This Row],[Life (yr)]]/Implements712[[#This Row],[Use (ac/yr)]]</f>
        <v>3.8742328488480431</v>
      </c>
      <c r="AA90" s="201">
        <f>((Implements712[[#This Row],[PriceP]]+Implements712[[#This Row],[TradeIn$]])/2*($BP$7+$BP$8+$BP$9)+Implements712[[#This Row],[Shed (ft^2)]]*$BP$12)/Implements712[[#This Row],[Use (ac/yr)]]</f>
        <v>4.1971883214192545</v>
      </c>
      <c r="AB90"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3.3487014203810093</v>
      </c>
      <c r="AC90" s="182">
        <f>IF(Implements712[[#This Row],[Use basis]]="hour","-",$BP$18/(Implements712[[#This Row],[Width]]*Implements712[[#This Row],[Speed]]*Implements712[[#This Row],[Efficiency]]))</f>
        <v>9.4285714285714292E-2</v>
      </c>
      <c r="AD90" s="163">
        <f>IF(Implements712[[#This Row],[Use basis]]=$N$128,Implements712[[#This Row],[Ownership costs ($/hr)]],SUM(Implements712[[#This Row],[Depr ($/ac)2]:[OH ($/ac)]]))</f>
        <v>8.071421170267298</v>
      </c>
      <c r="AE90" s="240">
        <v>20</v>
      </c>
      <c r="AF90" s="144" t="s">
        <v>460</v>
      </c>
      <c r="AG90" s="163"/>
    </row>
    <row r="91" spans="2:33">
      <c r="B91" s="144" t="str">
        <f>Implements712[[#This Row],[Implement type]]&amp;", "&amp;Implements712[[#This Row],[Width]]&amp;" "&amp;Implements712[[#This Row],[Width Unit]]&amp; ", per "&amp;Implements712[[#This Row],[Use basis]]</f>
        <v>Presswheel drill, 30 Ft Folding, per acre</v>
      </c>
      <c r="C91" s="170" t="s">
        <v>462</v>
      </c>
      <c r="D91" s="171">
        <v>30</v>
      </c>
      <c r="E91" s="238" t="str">
        <f t="shared" si="9"/>
        <v>Ft Folding</v>
      </c>
      <c r="F91" s="171"/>
      <c r="G91" s="171"/>
      <c r="H91" s="227">
        <v>85000</v>
      </c>
      <c r="I91" s="228">
        <v>0.05</v>
      </c>
      <c r="J91" s="174">
        <f t="shared" si="8"/>
        <v>89473.68421052632</v>
      </c>
      <c r="K91" s="198">
        <f>VLOOKUP(Implements712[[#This Row],[ASABEtype]],ASABECoefficients813[],4,FALSE)/Implements712[[#This Row],[Use (hr/yr)]]</f>
        <v>20</v>
      </c>
      <c r="L91" s="171">
        <v>75</v>
      </c>
      <c r="M91" s="176">
        <f>IF(Implements712[[#This Row],[Use basis]]="hour",,L91*(D91*P91*Q91)/8.25)</f>
        <v>954.5454545454545</v>
      </c>
      <c r="N91" s="177" t="s">
        <v>654</v>
      </c>
      <c r="O91" s="171" t="s">
        <v>459</v>
      </c>
      <c r="P91" s="171">
        <v>5</v>
      </c>
      <c r="Q91" s="228">
        <v>0.7</v>
      </c>
      <c r="R91" s="228">
        <v>1.1000000000000001</v>
      </c>
      <c r="S91" s="171">
        <v>240</v>
      </c>
      <c r="T91"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8.2537089399343885E-2</v>
      </c>
      <c r="U91" s="179">
        <f>Implements712[[#This Row],[TradeIn%]]*Implements712[[#This Row],[PriceL]]</f>
        <v>7384.897472572874</v>
      </c>
      <c r="V91" s="180">
        <f>(Implements712[[#This Row],[PriceP]]-Implements712[[#This Row],[TradeIn$]])/Implements712[[#This Row],[Life (yr)]]/Implements712[[#This Row],[Use (hr/yr)]]</f>
        <v>51.743401684951415</v>
      </c>
      <c r="W91" s="180">
        <f>((Implements712[[#This Row],[PriceP]]+Implements712[[#This Row],[TradeIn$]])/2*($BP$7+$BP$8+$BP$9)+Implements712[[#This Row],[Shed (ft^2)]]*$BP$12)/Implements712[[#This Row],[Use (hr/yr)]]</f>
        <v>55.527341217608445</v>
      </c>
      <c r="X91" s="180">
        <f>Implements712[[#This Row],[PriceL]]*(VLOOKUP(Implements712[[#This Row],[ASABEtype]],$BC$6:$BM$52,2)*(Implements712[[#This Row],[Life (yr)]]*Implements712[[#This Row],[Use (hr/yr)]]/1000)^VLOOKUP(Implements712[[#This Row],[ASABEtype]],$BC$6:$BM$52,3))/Implements712[[#This Row],[Life (yr)]]/Implements712[[#This Row],[Use (hr/yr)]]</f>
        <v>44.724519531463535</v>
      </c>
      <c r="Y91" s="180">
        <f>Implements712[[#This Row],[Depr ($/hr)]]+Implements712[[#This Row],[OH ($/hr)]]</f>
        <v>107.27074290255986</v>
      </c>
      <c r="Z91" s="180">
        <f>(Implements712[[#This Row],[PriceP]]-Implements712[[#This Row],[TradeIn$]])/Implements712[[#This Row],[Life (yr)]]/Implements712[[#This Row],[Use (ac/yr)]]</f>
        <v>4.0655529895318976</v>
      </c>
      <c r="AA91" s="201">
        <f>((Implements712[[#This Row],[PriceP]]+Implements712[[#This Row],[TradeIn$]])/2*($BP$7+$BP$8+$BP$9)+Implements712[[#This Row],[Shed (ft^2)]]*$BP$12)/Implements712[[#This Row],[Use (ac/yr)]]</f>
        <v>4.362862524240664</v>
      </c>
      <c r="AB91"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3.5140693917578489</v>
      </c>
      <c r="AC91" s="182">
        <f>IF(Implements712[[#This Row],[Use basis]]="hour","-",$BP$18/(Implements712[[#This Row],[Width]]*Implements712[[#This Row],[Speed]]*Implements712[[#This Row],[Efficiency]]))</f>
        <v>7.857142857142857E-2</v>
      </c>
      <c r="AD91" s="163">
        <f>IF(Implements712[[#This Row],[Use basis]]=$N$128,Implements712[[#This Row],[Ownership costs ($/hr)]],SUM(Implements712[[#This Row],[Depr ($/ac)2]:[OH ($/ac)]]))</f>
        <v>8.4284155137725616</v>
      </c>
      <c r="AE91" s="240">
        <v>21</v>
      </c>
      <c r="AF91" s="144" t="s">
        <v>460</v>
      </c>
      <c r="AG91" s="163"/>
    </row>
    <row r="92" spans="2:33">
      <c r="B92" s="144" t="str">
        <f>Implements712[[#This Row],[Implement type]]&amp;", "&amp;Implements712[[#This Row],[Width]]&amp;" "&amp;Implements712[[#This Row],[Width Unit]]&amp; ", per "&amp;Implements712[[#This Row],[Use basis]]</f>
        <v>Row crop planter, 15 Ft, per acre</v>
      </c>
      <c r="C92" s="238" t="s">
        <v>463</v>
      </c>
      <c r="D92" s="171">
        <v>15</v>
      </c>
      <c r="E92" s="238" t="str">
        <f t="shared" si="9"/>
        <v>Ft</v>
      </c>
      <c r="F92" s="171">
        <v>6</v>
      </c>
      <c r="G92" s="171" t="s">
        <v>416</v>
      </c>
      <c r="H92" s="227">
        <v>51500</v>
      </c>
      <c r="I92" s="228">
        <v>0.1</v>
      </c>
      <c r="J92" s="174">
        <f t="shared" si="8"/>
        <v>57222.222222222219</v>
      </c>
      <c r="K92" s="198">
        <f>VLOOKUP(Implements712[[#This Row],[ASABEtype]],ASABECoefficients813[],4,FALSE)/Implements712[[#This Row],[Use (hr/yr)]]</f>
        <v>21.428571428571427</v>
      </c>
      <c r="L92" s="171">
        <v>70</v>
      </c>
      <c r="M92" s="176">
        <f>IF(Implements712[[#This Row],[Use basis]]="hour",,L92*(D92*P92*Q92)/8.25)</f>
        <v>525</v>
      </c>
      <c r="N92" s="177" t="s">
        <v>654</v>
      </c>
      <c r="O92" s="171" t="s">
        <v>463</v>
      </c>
      <c r="P92" s="171">
        <v>5.5</v>
      </c>
      <c r="Q92" s="228">
        <v>0.75</v>
      </c>
      <c r="R92" s="228">
        <v>1.1499999999999999</v>
      </c>
      <c r="S92" s="171">
        <v>200</v>
      </c>
      <c r="T92"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0.35260541301907483</v>
      </c>
      <c r="U92" s="179">
        <f>Implements712[[#This Row],[TradeIn%]]*Implements712[[#This Row],[PriceL]]</f>
        <v>20176.865300535948</v>
      </c>
      <c r="V92" s="180">
        <f>(Implements712[[#This Row],[PriceP]]-Implements712[[#This Row],[TradeIn$]])/Implements712[[#This Row],[Life (yr)]]/Implements712[[#This Row],[Use (hr/yr)]]</f>
        <v>20.882089799642703</v>
      </c>
      <c r="W92" s="180">
        <f>((Implements712[[#This Row],[PriceP]]+Implements712[[#This Row],[TradeIn$]])/2*($BP$7+$BP$8+$BP$9)+Implements712[[#This Row],[Shed (ft^2)]]*$BP$12)/Implements712[[#This Row],[Use (hr/yr)]]</f>
        <v>46.315788684614937</v>
      </c>
      <c r="X92" s="180">
        <f>Implements712[[#This Row],[PriceL]]*(VLOOKUP(Implements712[[#This Row],[ASABEtype]],$BC$6:$BM$52,2)*(Implements712[[#This Row],[Life (yr)]]*Implements712[[#This Row],[Use (hr/yr)]]/1000)^VLOOKUP(Implements712[[#This Row],[ASABEtype]],$BC$6:$BM$52,3))/Implements712[[#This Row],[Life (yr)]]/Implements712[[#This Row],[Use (hr/yr)]]</f>
        <v>28.603230301658211</v>
      </c>
      <c r="Y92" s="180">
        <f>Implements712[[#This Row],[Depr ($/hr)]]+Implements712[[#This Row],[OH ($/hr)]]</f>
        <v>67.197878484257643</v>
      </c>
      <c r="Z92" s="180">
        <f>(Implements712[[#This Row],[PriceP]]-Implements712[[#This Row],[TradeIn$]])/Implements712[[#This Row],[Life (yr)]]/Implements712[[#This Row],[Use (ac/yr)]]</f>
        <v>2.7842786399523605</v>
      </c>
      <c r="AA92" s="201">
        <f>((Implements712[[#This Row],[PriceP]]+Implements712[[#This Row],[TradeIn$]])/2*($BP$7+$BP$8+$BP$9)+Implements712[[#This Row],[Shed (ft^2)]]*$BP$12)/Implements712[[#This Row],[Use (ac/yr)]]</f>
        <v>6.1754384912819917</v>
      </c>
      <c r="AB92"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3.8137640402210948</v>
      </c>
      <c r="AC92" s="182">
        <f>IF(Implements712[[#This Row],[Use basis]]="hour","-",$BP$18/(Implements712[[#This Row],[Width]]*Implements712[[#This Row],[Speed]]*Implements712[[#This Row],[Efficiency]]))</f>
        <v>0.13333333333333333</v>
      </c>
      <c r="AD92" s="163">
        <f>IF(Implements712[[#This Row],[Use basis]]=$N$128,Implements712[[#This Row],[Ownership costs ($/hr)]],SUM(Implements712[[#This Row],[Depr ($/ac)2]:[OH ($/ac)]]))</f>
        <v>8.9597171312343526</v>
      </c>
      <c r="AE92" s="240">
        <v>13</v>
      </c>
      <c r="AF92" s="144" t="s">
        <v>460</v>
      </c>
      <c r="AG92" s="163"/>
    </row>
    <row r="93" spans="2:33">
      <c r="B93" s="144" t="str">
        <f>Implements712[[#This Row],[Implement type]]&amp;", "&amp;Implements712[[#This Row],[Width]]&amp;" "&amp;Implements712[[#This Row],[Width Unit]]&amp; ", per "&amp;Implements712[[#This Row],[Use basis]]</f>
        <v>Row crop planter, 20 Ft Folding, per acre</v>
      </c>
      <c r="C93" s="238" t="s">
        <v>463</v>
      </c>
      <c r="D93" s="171">
        <v>20</v>
      </c>
      <c r="E93" s="238" t="str">
        <f t="shared" si="9"/>
        <v>Ft Folding</v>
      </c>
      <c r="F93" s="171">
        <v>8</v>
      </c>
      <c r="G93" s="171" t="s">
        <v>416</v>
      </c>
      <c r="H93" s="227">
        <v>82000</v>
      </c>
      <c r="I93" s="228">
        <v>0.1</v>
      </c>
      <c r="J93" s="174">
        <f t="shared" si="8"/>
        <v>91111.111111111109</v>
      </c>
      <c r="K93" s="198">
        <f>VLOOKUP(Implements712[[#This Row],[ASABEtype]],ASABECoefficients813[],4,FALSE)/Implements712[[#This Row],[Use (hr/yr)]]</f>
        <v>21.428571428571427</v>
      </c>
      <c r="L93" s="171">
        <v>70</v>
      </c>
      <c r="M93" s="176">
        <f>IF(Implements712[[#This Row],[Use basis]]="hour",,L93*(D93*P93*Q93)/8.25)</f>
        <v>700</v>
      </c>
      <c r="N93" s="177" t="s">
        <v>654</v>
      </c>
      <c r="O93" s="171" t="s">
        <v>463</v>
      </c>
      <c r="P93" s="171">
        <v>5.5</v>
      </c>
      <c r="Q93" s="228">
        <v>0.75</v>
      </c>
      <c r="R93" s="228">
        <v>1.1499999999999999</v>
      </c>
      <c r="S93" s="171">
        <v>200</v>
      </c>
      <c r="T93"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0.35260541301907483</v>
      </c>
      <c r="U93" s="179">
        <f>Implements712[[#This Row],[TradeIn%]]*Implements712[[#This Row],[PriceL]]</f>
        <v>32126.270963960149</v>
      </c>
      <c r="V93" s="180">
        <f>(Implements712[[#This Row],[PriceP]]-Implements712[[#This Row],[TradeIn$]])/Implements712[[#This Row],[Life (yr)]]/Implements712[[#This Row],[Use (hr/yr)]]</f>
        <v>33.249152690693229</v>
      </c>
      <c r="W93" s="180">
        <f>((Implements712[[#This Row],[PriceP]]+Implements712[[#This Row],[TradeIn$]])/2*($BP$7+$BP$8+$BP$9)+Implements712[[#This Row],[Shed (ft^2)]]*$BP$12)/Implements712[[#This Row],[Use (hr/yr)]]</f>
        <v>72.391852163575507</v>
      </c>
      <c r="X93" s="180">
        <f>Implements712[[#This Row],[PriceL]]*(VLOOKUP(Implements712[[#This Row],[ASABEtype]],$BC$6:$BM$52,2)*(Implements712[[#This Row],[Life (yr)]]*Implements712[[#This Row],[Use (hr/yr)]]/1000)^VLOOKUP(Implements712[[#This Row],[ASABEtype]],$BC$6:$BM$52,3))/Implements712[[#This Row],[Life (yr)]]/Implements712[[#This Row],[Use (hr/yr)]]</f>
        <v>45.543007470601438</v>
      </c>
      <c r="Y93" s="180">
        <f>Implements712[[#This Row],[Depr ($/hr)]]+Implements712[[#This Row],[OH ($/hr)]]</f>
        <v>105.64100485426874</v>
      </c>
      <c r="Z93" s="180">
        <f>(Implements712[[#This Row],[PriceP]]-Implements712[[#This Row],[TradeIn$]])/Implements712[[#This Row],[Life (yr)]]/Implements712[[#This Row],[Use (ac/yr)]]</f>
        <v>3.3249152690693231</v>
      </c>
      <c r="AA93" s="201">
        <f>((Implements712[[#This Row],[PriceP]]+Implements712[[#This Row],[TradeIn$]])/2*($BP$7+$BP$8+$BP$9)+Implements712[[#This Row],[Shed (ft^2)]]*$BP$12)/Implements712[[#This Row],[Use (ac/yr)]]</f>
        <v>7.2391852163575514</v>
      </c>
      <c r="AB93"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4.554300747060144</v>
      </c>
      <c r="AC93" s="182">
        <f>IF(Implements712[[#This Row],[Use basis]]="hour","-",$BP$18/(Implements712[[#This Row],[Width]]*Implements712[[#This Row],[Speed]]*Implements712[[#This Row],[Efficiency]]))</f>
        <v>0.1</v>
      </c>
      <c r="AD93" s="163">
        <f>IF(Implements712[[#This Row],[Use basis]]=$N$128,Implements712[[#This Row],[Ownership costs ($/hr)]],SUM(Implements712[[#This Row],[Depr ($/ac)2]:[OH ($/ac)]]))</f>
        <v>10.564100485426874</v>
      </c>
      <c r="AE93" s="240">
        <v>14</v>
      </c>
      <c r="AF93" s="144" t="s">
        <v>460</v>
      </c>
      <c r="AG93" s="163"/>
    </row>
    <row r="94" spans="2:33">
      <c r="B94" s="144" t="str">
        <f>Implements712[[#This Row],[Implement type]]&amp;", "&amp;Implements712[[#This Row],[Width]]&amp;" "&amp;Implements712[[#This Row],[Width Unit]]&amp; ", per "&amp;Implements712[[#This Row],[Use basis]]</f>
        <v>Row crop planter, 30 Ft Folding, per acre</v>
      </c>
      <c r="C94" s="238" t="s">
        <v>463</v>
      </c>
      <c r="D94" s="171">
        <v>30</v>
      </c>
      <c r="E94" s="238" t="str">
        <f t="shared" si="9"/>
        <v>Ft Folding</v>
      </c>
      <c r="F94" s="171">
        <v>12</v>
      </c>
      <c r="G94" s="171" t="s">
        <v>416</v>
      </c>
      <c r="H94" s="227">
        <v>160000</v>
      </c>
      <c r="I94" s="228">
        <v>0.1</v>
      </c>
      <c r="J94" s="174">
        <f t="shared" si="8"/>
        <v>177777.77777777778</v>
      </c>
      <c r="K94" s="198">
        <f>VLOOKUP(Implements712[[#This Row],[ASABEtype]],ASABECoefficients813[],4,FALSE)/Implements712[[#This Row],[Use (hr/yr)]]</f>
        <v>15</v>
      </c>
      <c r="L94" s="171">
        <v>100</v>
      </c>
      <c r="M94" s="176">
        <f>IF(Implements712[[#This Row],[Use basis]]="hour",,L94*(D94*P94*Q94)/8.25)</f>
        <v>1500</v>
      </c>
      <c r="N94" s="177" t="s">
        <v>654</v>
      </c>
      <c r="O94" s="171" t="s">
        <v>463</v>
      </c>
      <c r="P94" s="171">
        <v>5.5</v>
      </c>
      <c r="Q94" s="228">
        <v>0.75</v>
      </c>
      <c r="R94" s="228">
        <v>1.1499999999999999</v>
      </c>
      <c r="S94" s="171">
        <v>300</v>
      </c>
      <c r="T94"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0.4656071203012615</v>
      </c>
      <c r="U94" s="179">
        <f>Implements712[[#This Row],[TradeIn%]]*Implements712[[#This Row],[PriceL]]</f>
        <v>82774.599164668718</v>
      </c>
      <c r="V94" s="180">
        <f>(Implements712[[#This Row],[PriceP]]-Implements712[[#This Row],[TradeIn$]])/Implements712[[#This Row],[Life (yr)]]/Implements712[[#This Row],[Use (hr/yr)]]</f>
        <v>51.483600556887524</v>
      </c>
      <c r="W94" s="180">
        <f>((Implements712[[#This Row],[PriceP]]+Implements712[[#This Row],[TradeIn$]])/2*($BP$7+$BP$8+$BP$9)+Implements712[[#This Row],[Shed (ft^2)]]*$BP$12)/Implements712[[#This Row],[Use (hr/yr)]]</f>
        <v>106.79307764080754</v>
      </c>
      <c r="X94" s="180">
        <f>Implements712[[#This Row],[PriceL]]*(VLOOKUP(Implements712[[#This Row],[ASABEtype]],$BC$6:$BM$52,2)*(Implements712[[#This Row],[Life (yr)]]*Implements712[[#This Row],[Use (hr/yr)]]/1000)^VLOOKUP(Implements712[[#This Row],[ASABEtype]],$BC$6:$BM$52,3))/Implements712[[#This Row],[Life (yr)]]/Implements712[[#This Row],[Use (hr/yr)]]</f>
        <v>88.864404820685721</v>
      </c>
      <c r="Y94" s="180">
        <f>Implements712[[#This Row],[Depr ($/hr)]]+Implements712[[#This Row],[OH ($/hr)]]</f>
        <v>158.27667819769505</v>
      </c>
      <c r="Z94" s="180">
        <f>(Implements712[[#This Row],[PriceP]]-Implements712[[#This Row],[TradeIn$]])/Implements712[[#This Row],[Life (yr)]]/Implements712[[#This Row],[Use (ac/yr)]]</f>
        <v>3.432240037125835</v>
      </c>
      <c r="AA94" s="201">
        <f>((Implements712[[#This Row],[PriceP]]+Implements712[[#This Row],[TradeIn$]])/2*($BP$7+$BP$8+$BP$9)+Implements712[[#This Row],[Shed (ft^2)]]*$BP$12)/Implements712[[#This Row],[Use (ac/yr)]]</f>
        <v>7.1195385093871693</v>
      </c>
      <c r="AB94"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5.9242936547123817</v>
      </c>
      <c r="AC94" s="182">
        <f>IF(Implements712[[#This Row],[Use basis]]="hour","-",$BP$18/(Implements712[[#This Row],[Width]]*Implements712[[#This Row],[Speed]]*Implements712[[#This Row],[Efficiency]]))</f>
        <v>6.6666666666666666E-2</v>
      </c>
      <c r="AD94" s="163">
        <f>IF(Implements712[[#This Row],[Use basis]]=$N$128,Implements712[[#This Row],[Ownership costs ($/hr)]],SUM(Implements712[[#This Row],[Depr ($/ac)2]:[OH ($/ac)]]))</f>
        <v>10.551778546513004</v>
      </c>
      <c r="AE94" s="240">
        <v>15</v>
      </c>
      <c r="AF94" s="144" t="s">
        <v>460</v>
      </c>
      <c r="AG94" s="163"/>
    </row>
    <row r="95" spans="2:33">
      <c r="B95" s="144" t="str">
        <f>Implements712[[#This Row],[Implement type]]&amp;", "&amp;Implements712[[#This Row],[Width]]&amp;" "&amp;Implements712[[#This Row],[Width Unit]]&amp; ", per "&amp;Implements712[[#This Row],[Use basis]]</f>
        <v>Row crop planter, 40 Ft Folding, per acre</v>
      </c>
      <c r="C95" s="238" t="s">
        <v>463</v>
      </c>
      <c r="D95" s="171">
        <v>40</v>
      </c>
      <c r="E95" s="238" t="str">
        <f t="shared" si="9"/>
        <v>Ft Folding</v>
      </c>
      <c r="F95" s="171">
        <v>16</v>
      </c>
      <c r="G95" s="171" t="s">
        <v>416</v>
      </c>
      <c r="H95" s="227">
        <v>255000</v>
      </c>
      <c r="I95" s="228">
        <v>0.15</v>
      </c>
      <c r="J95" s="174">
        <f t="shared" si="8"/>
        <v>300000</v>
      </c>
      <c r="K95" s="198">
        <f>VLOOKUP(Implements712[[#This Row],[ASABEtype]],ASABECoefficients813[],4,FALSE)/Implements712[[#This Row],[Use (hr/yr)]]</f>
        <v>15</v>
      </c>
      <c r="L95" s="171">
        <v>100</v>
      </c>
      <c r="M95" s="176">
        <f>IF(Implements712[[#This Row],[Use basis]]="hour",,L95*(D95*P95*Q95)/8.25)</f>
        <v>2000</v>
      </c>
      <c r="N95" s="177" t="s">
        <v>654</v>
      </c>
      <c r="O95" s="171" t="s">
        <v>463</v>
      </c>
      <c r="P95" s="171">
        <v>5.5</v>
      </c>
      <c r="Q95" s="228">
        <v>0.75</v>
      </c>
      <c r="R95" s="228">
        <v>1.1499999999999999</v>
      </c>
      <c r="S95" s="171">
        <v>300</v>
      </c>
      <c r="T95"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0.4656071203012615</v>
      </c>
      <c r="U95" s="179">
        <f>Implements712[[#This Row],[TradeIn%]]*Implements712[[#This Row],[PriceL]]</f>
        <v>139682.13609037845</v>
      </c>
      <c r="V95" s="180">
        <f>(Implements712[[#This Row],[PriceP]]-Implements712[[#This Row],[TradeIn$]])/Implements712[[#This Row],[Life (yr)]]/Implements712[[#This Row],[Use (hr/yr)]]</f>
        <v>76.878575939747691</v>
      </c>
      <c r="W95" s="180">
        <f>((Implements712[[#This Row],[PriceP]]+Implements712[[#This Row],[TradeIn$]])/2*($BP$7+$BP$8+$BP$9)+Implements712[[#This Row],[Shed (ft^2)]]*$BP$12)/Implements712[[#This Row],[Use (hr/yr)]]</f>
        <v>172.11331851886271</v>
      </c>
      <c r="X95" s="180">
        <f>Implements712[[#This Row],[PriceL]]*(VLOOKUP(Implements712[[#This Row],[ASABEtype]],$BC$6:$BM$52,2)*(Implements712[[#This Row],[Life (yr)]]*Implements712[[#This Row],[Use (hr/yr)]]/1000)^VLOOKUP(Implements712[[#This Row],[ASABEtype]],$BC$6:$BM$52,3))/Implements712[[#This Row],[Life (yr)]]/Implements712[[#This Row],[Use (hr/yr)]]</f>
        <v>149.95868313490712</v>
      </c>
      <c r="Y95" s="180">
        <f>Implements712[[#This Row],[Depr ($/hr)]]+Implements712[[#This Row],[OH ($/hr)]]</f>
        <v>248.9918944586104</v>
      </c>
      <c r="Z95" s="180">
        <f>(Implements712[[#This Row],[PriceP]]-Implements712[[#This Row],[TradeIn$]])/Implements712[[#This Row],[Life (yr)]]/Implements712[[#This Row],[Use (ac/yr)]]</f>
        <v>3.843928796987385</v>
      </c>
      <c r="AA95" s="201">
        <f>((Implements712[[#This Row],[PriceP]]+Implements712[[#This Row],[TradeIn$]])/2*($BP$7+$BP$8+$BP$9)+Implements712[[#This Row],[Shed (ft^2)]]*$BP$12)/Implements712[[#This Row],[Use (ac/yr)]]</f>
        <v>8.6056659259431356</v>
      </c>
      <c r="AB95"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7.497934156745357</v>
      </c>
      <c r="AC95" s="182">
        <f>IF(Implements712[[#This Row],[Use basis]]="hour","-",$BP$18/(Implements712[[#This Row],[Width]]*Implements712[[#This Row],[Speed]]*Implements712[[#This Row],[Efficiency]]))</f>
        <v>0.05</v>
      </c>
      <c r="AD95" s="163">
        <f>IF(Implements712[[#This Row],[Use basis]]=$N$128,Implements712[[#This Row],[Ownership costs ($/hr)]],SUM(Implements712[[#This Row],[Depr ($/ac)2]:[OH ($/ac)]]))</f>
        <v>12.44959472293052</v>
      </c>
      <c r="AE95" s="240">
        <v>16</v>
      </c>
      <c r="AF95" s="144" t="s">
        <v>460</v>
      </c>
      <c r="AG95" s="163"/>
    </row>
    <row r="96" spans="2:33">
      <c r="B96" s="144" t="str">
        <f>Implements712[[#This Row],[Implement type]]&amp;", "&amp;Implements712[[#This Row],[Width]]&amp;" "&amp;Implements712[[#This Row],[Width Unit]]&amp; ", per "&amp;Implements712[[#This Row],[Use basis]]</f>
        <v>Row crop planter, 60 Ft Folding, per acre</v>
      </c>
      <c r="C96" s="238" t="s">
        <v>463</v>
      </c>
      <c r="D96" s="171">
        <v>60</v>
      </c>
      <c r="E96" s="238" t="str">
        <f t="shared" si="9"/>
        <v>Ft Folding</v>
      </c>
      <c r="F96" s="171">
        <v>24</v>
      </c>
      <c r="G96" s="171" t="s">
        <v>416</v>
      </c>
      <c r="H96" s="227">
        <v>321500</v>
      </c>
      <c r="I96" s="228">
        <v>0.2</v>
      </c>
      <c r="J96" s="174">
        <f t="shared" si="8"/>
        <v>401875</v>
      </c>
      <c r="K96" s="198">
        <f>VLOOKUP(Implements712[[#This Row],[ASABEtype]],ASABECoefficients813[],4,FALSE)/Implements712[[#This Row],[Use (hr/yr)]]</f>
        <v>15</v>
      </c>
      <c r="L96" s="171">
        <v>100</v>
      </c>
      <c r="M96" s="176">
        <f>IF(Implements712[[#This Row],[Use basis]]="hour",,L96*(D96*P96*Q96)/8.25)</f>
        <v>3000</v>
      </c>
      <c r="N96" s="177" t="s">
        <v>654</v>
      </c>
      <c r="O96" s="171" t="s">
        <v>463</v>
      </c>
      <c r="P96" s="171">
        <v>5.5</v>
      </c>
      <c r="Q96" s="228">
        <v>0.75</v>
      </c>
      <c r="R96" s="228">
        <v>1.1499999999999999</v>
      </c>
      <c r="S96" s="171">
        <v>300</v>
      </c>
      <c r="T96"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0.4656071203012615</v>
      </c>
      <c r="U96" s="179">
        <f>Implements712[[#This Row],[TradeIn%]]*Implements712[[#This Row],[PriceL]]</f>
        <v>187115.86147106945</v>
      </c>
      <c r="V96" s="180">
        <f>(Implements712[[#This Row],[PriceP]]-Implements712[[#This Row],[TradeIn$]])/Implements712[[#This Row],[Life (yr)]]/Implements712[[#This Row],[Use (hr/yr)]]</f>
        <v>89.589425685953699</v>
      </c>
      <c r="W96" s="180">
        <f>((Implements712[[#This Row],[PriceP]]+Implements712[[#This Row],[TradeIn$]])/2*($BP$7+$BP$8+$BP$9)+Implements712[[#This Row],[Shed (ft^2)]]*$BP$12)/Implements712[[#This Row],[Use (hr/yr)]]</f>
        <v>221.10482043255988</v>
      </c>
      <c r="X96" s="180">
        <f>Implements712[[#This Row],[PriceL]]*(VLOOKUP(Implements712[[#This Row],[ASABEtype]],$BC$6:$BM$52,2)*(Implements712[[#This Row],[Life (yr)]]*Implements712[[#This Row],[Use (hr/yr)]]/1000)^VLOOKUP(Implements712[[#This Row],[ASABEtype]],$BC$6:$BM$52,3))/Implements712[[#This Row],[Life (yr)]]/Implements712[[#This Row],[Use (hr/yr)]]</f>
        <v>200.88215261613604</v>
      </c>
      <c r="Y96" s="180">
        <f>Implements712[[#This Row],[Depr ($/hr)]]+Implements712[[#This Row],[OH ($/hr)]]</f>
        <v>310.69424611851355</v>
      </c>
      <c r="Z96" s="180">
        <f>(Implements712[[#This Row],[PriceP]]-Implements712[[#This Row],[TradeIn$]])/Implements712[[#This Row],[Life (yr)]]/Implements712[[#This Row],[Use (ac/yr)]]</f>
        <v>2.98631418953179</v>
      </c>
      <c r="AA96" s="201">
        <f>((Implements712[[#This Row],[PriceP]]+Implements712[[#This Row],[TradeIn$]])/2*($BP$7+$BP$8+$BP$9)+Implements712[[#This Row],[Shed (ft^2)]]*$BP$12)/Implements712[[#This Row],[Use (ac/yr)]]</f>
        <v>7.3701606810853288</v>
      </c>
      <c r="AB96"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6.6960717538712018</v>
      </c>
      <c r="AC96" s="182">
        <f>IF(Implements712[[#This Row],[Use basis]]="hour","-",$BP$18/(Implements712[[#This Row],[Width]]*Implements712[[#This Row],[Speed]]*Implements712[[#This Row],[Efficiency]]))</f>
        <v>3.3333333333333333E-2</v>
      </c>
      <c r="AD96" s="163">
        <f>IF(Implements712[[#This Row],[Use basis]]=$N$128,Implements712[[#This Row],[Ownership costs ($/hr)]],SUM(Implements712[[#This Row],[Depr ($/ac)2]:[OH ($/ac)]]))</f>
        <v>10.356474870617118</v>
      </c>
      <c r="AE96" s="240">
        <v>17</v>
      </c>
      <c r="AF96" s="144" t="s">
        <v>460</v>
      </c>
      <c r="AG96" s="163"/>
    </row>
    <row r="97" spans="2:52">
      <c r="B97" s="144" t="str">
        <f>Implements712[[#This Row],[Implement type]]&amp;", "&amp;Implements712[[#This Row],[Width]]&amp;" "&amp;Implements712[[#This Row],[Width Unit]]&amp; ", per "&amp;Implements712[[#This Row],[Use basis]]</f>
        <v>Chisel plow, 22 Ft Folding, per acre</v>
      </c>
      <c r="C97" s="238" t="s">
        <v>414</v>
      </c>
      <c r="D97" s="171">
        <v>22</v>
      </c>
      <c r="E97" s="238" t="str">
        <f t="shared" si="9"/>
        <v>Ft Folding</v>
      </c>
      <c r="F97" s="171"/>
      <c r="G97" s="171"/>
      <c r="H97" s="227">
        <v>62500</v>
      </c>
      <c r="I97" s="228">
        <v>0.1</v>
      </c>
      <c r="J97" s="174">
        <f t="shared" si="8"/>
        <v>69444.444444444438</v>
      </c>
      <c r="K97" s="198">
        <f>VLOOKUP(Implements712[[#This Row],[ASABEtype]],ASABECoefficients813[],4,FALSE)/Implements712[[#This Row],[Use (hr/yr)]]</f>
        <v>33.333333333333336</v>
      </c>
      <c r="L97" s="171">
        <v>60</v>
      </c>
      <c r="M97" s="176">
        <f>IF(Implements712[[#This Row],[Use basis]]="hour",,L97*(D97*P97*Q97)/8.25)</f>
        <v>680</v>
      </c>
      <c r="N97" s="177" t="s">
        <v>654</v>
      </c>
      <c r="O97" s="171" t="s">
        <v>414</v>
      </c>
      <c r="P97" s="171">
        <v>5</v>
      </c>
      <c r="Q97" s="228">
        <v>0.85</v>
      </c>
      <c r="R97" s="228">
        <v>1.05</v>
      </c>
      <c r="S97" s="171">
        <v>250</v>
      </c>
      <c r="T97"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0.16583589106640825</v>
      </c>
      <c r="U97" s="245">
        <f>Implements712[[#This Row],[TradeIn%]]*Implements712[[#This Row],[PriceL]]</f>
        <v>11516.381324056129</v>
      </c>
      <c r="V97" s="246">
        <f>(Implements712[[#This Row],[PriceP]]-Implements712[[#This Row],[TradeIn$]])/Implements712[[#This Row],[Life (yr)]]/Implements712[[#This Row],[Use (hr/yr)]]</f>
        <v>25.491809337971933</v>
      </c>
      <c r="W97" s="247">
        <f>((Implements712[[#This Row],[PriceP]]+Implements712[[#This Row],[TradeIn$]])/2*($BP$7+$BP$8+$BP$9)+Implements712[[#This Row],[Shed (ft^2)]]*$BP$12)/Implements712[[#This Row],[Use (hr/yr)]]</f>
        <v>56.378406615573553</v>
      </c>
      <c r="X97" s="246">
        <f>Implements712[[#This Row],[PriceL]]*(VLOOKUP(Implements712[[#This Row],[ASABEtype]],$BC$6:$BM$52,2)*(Implements712[[#This Row],[Life (yr)]]*Implements712[[#This Row],[Use (hr/yr)]]/1000)^VLOOKUP(Implements712[[#This Row],[ASABEtype]],$BC$6:$BM$52,3))/Implements712[[#This Row],[Life (yr)]]/Implements712[[#This Row],[Use (hr/yr)]]</f>
        <v>25.657098265028505</v>
      </c>
      <c r="Y97" s="246">
        <f>Implements712[[#This Row],[Depr ($/hr)]]+Implements712[[#This Row],[OH ($/hr)]]</f>
        <v>81.870215953545483</v>
      </c>
      <c r="Z97" s="180">
        <f>(Implements712[[#This Row],[PriceP]]-Implements712[[#This Row],[TradeIn$]])/Implements712[[#This Row],[Life (yr)]]/Implements712[[#This Row],[Use (ac/yr)]]</f>
        <v>2.2492772945269355</v>
      </c>
      <c r="AA97" s="201">
        <f>((Implements712[[#This Row],[PriceP]]+Implements712[[#This Row],[TradeIn$]])/2*($BP$7+$BP$8+$BP$9)+Implements712[[#This Row],[Shed (ft^2)]]*$BP$12)/Implements712[[#This Row],[Use (ac/yr)]]</f>
        <v>4.9745652896094308</v>
      </c>
      <c r="AB97"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2.2638616116201624</v>
      </c>
      <c r="AC97" s="182">
        <f>IF(Implements712[[#This Row],[Use basis]]="hour","-",$BP$18/(Implements712[[#This Row],[Width]]*Implements712[[#This Row],[Speed]]*Implements712[[#This Row],[Efficiency]]))</f>
        <v>8.8235294117647065E-2</v>
      </c>
      <c r="AD97" s="163">
        <f>IF(Implements712[[#This Row],[Use basis]]=$N$128,Implements712[[#This Row],[Ownership costs ($/hr)]],SUM(Implements712[[#This Row],[Depr ($/ac)2]:[OH ($/ac)]]))</f>
        <v>7.2238425841363663</v>
      </c>
      <c r="AE97" s="240">
        <v>1</v>
      </c>
      <c r="AF97" s="144" t="s">
        <v>464</v>
      </c>
      <c r="AG97" s="163"/>
    </row>
    <row r="98" spans="2:52">
      <c r="B98" s="144" t="str">
        <f>Implements712[[#This Row],[Implement type]]&amp;", "&amp;Implements712[[#This Row],[Width]]&amp;" "&amp;Implements712[[#This Row],[Width Unit]]&amp; ", per "&amp;Implements712[[#This Row],[Use basis]]</f>
        <v>Chisel plow, 36 Ft Folding, per acre</v>
      </c>
      <c r="C98" s="238" t="s">
        <v>414</v>
      </c>
      <c r="D98" s="171">
        <v>36</v>
      </c>
      <c r="E98" s="238" t="str">
        <f t="shared" si="9"/>
        <v>Ft Folding</v>
      </c>
      <c r="F98" s="171"/>
      <c r="G98" s="171"/>
      <c r="H98" s="227">
        <v>80500</v>
      </c>
      <c r="I98" s="228">
        <v>0.1</v>
      </c>
      <c r="J98" s="174">
        <f t="shared" si="8"/>
        <v>89444.444444444438</v>
      </c>
      <c r="K98" s="198">
        <f>VLOOKUP(Implements712[[#This Row],[ASABEtype]],ASABECoefficients813[],4,FALSE)/Implements712[[#This Row],[Use (hr/yr)]]</f>
        <v>33.333333333333336</v>
      </c>
      <c r="L98" s="171">
        <v>60</v>
      </c>
      <c r="M98" s="176">
        <f>IF(Implements712[[#This Row],[Use basis]]="hour",,L98*(D98*P98*Q98)/8.25)</f>
        <v>1112.7272727272727</v>
      </c>
      <c r="N98" s="177" t="s">
        <v>654</v>
      </c>
      <c r="O98" s="171" t="s">
        <v>414</v>
      </c>
      <c r="P98" s="171">
        <v>5</v>
      </c>
      <c r="Q98" s="228">
        <v>0.85</v>
      </c>
      <c r="R98" s="228">
        <v>1.05</v>
      </c>
      <c r="S98" s="171">
        <v>370</v>
      </c>
      <c r="T98"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0.16583589106640825</v>
      </c>
      <c r="U98" s="179">
        <f>Implements712[[#This Row],[TradeIn%]]*Implements712[[#This Row],[PriceL]]</f>
        <v>14833.099145384293</v>
      </c>
      <c r="V98" s="180">
        <f>(Implements712[[#This Row],[PriceP]]-Implements712[[#This Row],[TradeIn$]])/Implements712[[#This Row],[Life (yr)]]/Implements712[[#This Row],[Use (hr/yr)]]</f>
        <v>32.833450427307852</v>
      </c>
      <c r="W98" s="180">
        <f>((Implements712[[#This Row],[PriceP]]+Implements712[[#This Row],[TradeIn$]])/2*($BP$7+$BP$8+$BP$9)+Implements712[[#This Row],[Shed (ft^2)]]*$BP$12)/Implements712[[#This Row],[Use (hr/yr)]]</f>
        <v>73.255387720858735</v>
      </c>
      <c r="X98" s="180">
        <f>Implements712[[#This Row],[PriceL]]*(VLOOKUP(Implements712[[#This Row],[ASABEtype]],$BC$6:$BM$52,2)*(Implements712[[#This Row],[Life (yr)]]*Implements712[[#This Row],[Use (hr/yr)]]/1000)^VLOOKUP(Implements712[[#This Row],[ASABEtype]],$BC$6:$BM$52,3))/Implements712[[#This Row],[Life (yr)]]/Implements712[[#This Row],[Use (hr/yr)]]</f>
        <v>33.046342565356717</v>
      </c>
      <c r="Y98" s="180">
        <f>Implements712[[#This Row],[Depr ($/hr)]]+Implements712[[#This Row],[OH ($/hr)]]</f>
        <v>106.08883814816659</v>
      </c>
      <c r="Z98" s="180">
        <f>(Implements712[[#This Row],[PriceP]]-Implements712[[#This Row],[TradeIn$]])/Implements712[[#This Row],[Life (yr)]]/Implements712[[#This Row],[Use (ac/yr)]]</f>
        <v>1.7704311504920902</v>
      </c>
      <c r="AA98" s="201">
        <f>((Implements712[[#This Row],[PriceP]]+Implements712[[#This Row],[TradeIn$]])/2*($BP$7+$BP$8+$BP$9)+Implements712[[#This Row],[Shed (ft^2)]]*$BP$12)/Implements712[[#This Row],[Use (ac/yr)]]</f>
        <v>3.9500454163208136</v>
      </c>
      <c r="AB98"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1.7819106285241366</v>
      </c>
      <c r="AC98" s="182">
        <f>IF(Implements712[[#This Row],[Use basis]]="hour","-",$BP$18/(Implements712[[#This Row],[Width]]*Implements712[[#This Row],[Speed]]*Implements712[[#This Row],[Efficiency]]))</f>
        <v>5.3921568627450983E-2</v>
      </c>
      <c r="AD98" s="163">
        <f>IF(Implements712[[#This Row],[Use basis]]=$N$128,Implements712[[#This Row],[Ownership costs ($/hr)]],SUM(Implements712[[#This Row],[Depr ($/ac)2]:[OH ($/ac)]]))</f>
        <v>5.7204765668129038</v>
      </c>
      <c r="AE98" s="240">
        <v>2</v>
      </c>
      <c r="AF98" s="144" t="s">
        <v>464</v>
      </c>
      <c r="AG98" s="163"/>
    </row>
    <row r="99" spans="2:52">
      <c r="B99" s="144" t="str">
        <f>Implements712[[#This Row],[Implement type]]&amp;", "&amp;Implements712[[#This Row],[Width]]&amp;" "&amp;Implements712[[#This Row],[Width Unit]]</f>
        <v>Subsoiler, 10 Ft</v>
      </c>
      <c r="C99" s="170" t="s">
        <v>621</v>
      </c>
      <c r="D99" s="171">
        <v>10</v>
      </c>
      <c r="E99" s="170" t="s">
        <v>402</v>
      </c>
      <c r="F99" s="171"/>
      <c r="G99" s="170" t="s">
        <v>633</v>
      </c>
      <c r="H99" s="172">
        <v>21000</v>
      </c>
      <c r="I99" s="173">
        <v>0.1</v>
      </c>
      <c r="J99" s="174">
        <f t="shared" si="8"/>
        <v>23333.333333333332</v>
      </c>
      <c r="K99" s="198">
        <f>VLOOKUP(Implements712[[#This Row],[ASABEtype]],ASABECoefficients813[],4,FALSE)/Implements712[[#This Row],[Use (hr/yr)]]</f>
        <v>40</v>
      </c>
      <c r="L99" s="199">
        <v>50</v>
      </c>
      <c r="M99" s="176">
        <f>IF(Implements712[[#This Row],[Use basis]]="hour",,L99*(D99*P99*Q99)/8.25)</f>
        <v>309.09090909090907</v>
      </c>
      <c r="N99" s="200" t="s">
        <v>654</v>
      </c>
      <c r="O99" s="171" t="s">
        <v>414</v>
      </c>
      <c r="P99" s="171">
        <v>6</v>
      </c>
      <c r="Q99" s="173">
        <v>0.85</v>
      </c>
      <c r="R99" s="173">
        <v>1.05</v>
      </c>
      <c r="S99" s="171">
        <v>100</v>
      </c>
      <c r="T99"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0.13614301476181845</v>
      </c>
      <c r="U99" s="179">
        <f>Implements712[[#This Row],[TradeIn%]]*Implements712[[#This Row],[PriceL]]</f>
        <v>3176.6703444424302</v>
      </c>
      <c r="V99" s="180">
        <f>(Implements712[[#This Row],[PriceP]]-Implements712[[#This Row],[TradeIn$]])/Implements712[[#This Row],[Life (yr)]]/Implements712[[#This Row],[Use (hr/yr)]]</f>
        <v>8.9116648277787842</v>
      </c>
      <c r="W99" s="180">
        <f>((Implements712[[#This Row],[PriceP]]+Implements712[[#This Row],[TradeIn$]])/2*($BP$7+$BP$8+$BP$9)+Implements712[[#This Row],[Shed (ft^2)]]*$BP$12)/Implements712[[#This Row],[Use (hr/yr)]]</f>
        <v>22.391936496220488</v>
      </c>
      <c r="X99" s="180">
        <f>Implements712[[#This Row],[PriceL]]*(VLOOKUP(Implements712[[#This Row],[ASABEtype]],$BC$6:$BM$52,2)*(Implements712[[#This Row],[Life (yr)]]*Implements712[[#This Row],[Use (hr/yr)]]/1000)^VLOOKUP(Implements712[[#This Row],[ASABEtype]],$BC$6:$BM$52,3))/Implements712[[#This Row],[Life (yr)]]/Implements712[[#This Row],[Use (hr/yr)]]</f>
        <v>8.6207850170495774</v>
      </c>
      <c r="Y99" s="180">
        <f>Implements712[[#This Row],[Depr ($/hr)]]+Implements712[[#This Row],[OH ($/hr)]]</f>
        <v>31.303601323999274</v>
      </c>
      <c r="Z99" s="180">
        <f>(Implements712[[#This Row],[PriceP]]-Implements712[[#This Row],[TradeIn$]])/Implements712[[#This Row],[Life (yr)]]/Implements712[[#This Row],[Use (ac/yr)]]</f>
        <v>1.4415928397877447</v>
      </c>
      <c r="AA99" s="201">
        <f>((Implements712[[#This Row],[PriceP]]+Implements712[[#This Row],[TradeIn$]])/2*($BP$7+$BP$8+$BP$9)+Implements712[[#This Row],[Shed (ft^2)]]*$BP$12)/Implements712[[#This Row],[Use (ac/yr)]]</f>
        <v>3.6222250214474321</v>
      </c>
      <c r="AB99"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1.39453875275802</v>
      </c>
      <c r="AC99" s="182">
        <f>IF(Implements712[[#This Row],[Use basis]]="hour","-",$BP$18/(Implements712[[#This Row],[Width]]*Implements712[[#This Row],[Speed]]*Implements712[[#This Row],[Efficiency]]))</f>
        <v>0.16176470588235295</v>
      </c>
      <c r="AD99" s="163">
        <f>IF(Implements712[[#This Row],[Use basis]]=$N$128,Implements712[[#This Row],[Ownership costs ($/hr)]],SUM(Implements712[[#This Row],[Depr ($/ac)2]:[OH ($/ac)]]))</f>
        <v>5.0638178612351767</v>
      </c>
      <c r="AE99" s="240">
        <v>3</v>
      </c>
      <c r="AF99" s="144" t="s">
        <v>464</v>
      </c>
      <c r="AG99" s="163"/>
    </row>
    <row r="100" spans="2:52">
      <c r="B100" s="144" t="str">
        <f>Implements712[[#This Row],[Implement type]]&amp;", "&amp;Implements712[[#This Row],[Width]]&amp;" "&amp;Implements712[[#This Row],[Width Unit]]</f>
        <v>Subsoiler, 15 Ft</v>
      </c>
      <c r="C100" s="170" t="s">
        <v>621</v>
      </c>
      <c r="D100" s="171">
        <v>15</v>
      </c>
      <c r="E100" s="170" t="s">
        <v>402</v>
      </c>
      <c r="F100" s="171"/>
      <c r="G100" s="170" t="s">
        <v>634</v>
      </c>
      <c r="H100" s="172">
        <v>25500</v>
      </c>
      <c r="I100" s="173">
        <v>0.1</v>
      </c>
      <c r="J100" s="174">
        <f t="shared" si="8"/>
        <v>28333.333333333332</v>
      </c>
      <c r="K100" s="198">
        <f>VLOOKUP(Implements712[[#This Row],[ASABEtype]],ASABECoefficients813[],4,FALSE)/Implements712[[#This Row],[Use (hr/yr)]]</f>
        <v>40</v>
      </c>
      <c r="L100" s="199">
        <v>50</v>
      </c>
      <c r="M100" s="176">
        <f>IF(Implements712[[#This Row],[Use basis]]="hour",,L100*(D100*P100*Q100)/8.25)</f>
        <v>463.63636363636363</v>
      </c>
      <c r="N100" s="200" t="s">
        <v>654</v>
      </c>
      <c r="O100" s="171" t="s">
        <v>414</v>
      </c>
      <c r="P100" s="171">
        <v>6</v>
      </c>
      <c r="Q100" s="173">
        <v>0.85</v>
      </c>
      <c r="R100" s="173">
        <v>1.05</v>
      </c>
      <c r="S100" s="171">
        <v>140</v>
      </c>
      <c r="T100"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0.13614301476181845</v>
      </c>
      <c r="U100" s="179">
        <f>Implements712[[#This Row],[TradeIn%]]*Implements712[[#This Row],[PriceL]]</f>
        <v>3857.3854182515224</v>
      </c>
      <c r="V100" s="180">
        <f>(Implements712[[#This Row],[PriceP]]-Implements712[[#This Row],[TradeIn$]])/Implements712[[#This Row],[Life (yr)]]/Implements712[[#This Row],[Use (hr/yr)]]</f>
        <v>10.821307290874239</v>
      </c>
      <c r="W100" s="180">
        <f>((Implements712[[#This Row],[PriceP]]+Implements712[[#This Row],[TradeIn$]])/2*($BP$7+$BP$8+$BP$9)+Implements712[[#This Row],[Shed (ft^2)]]*$BP$12)/Implements712[[#This Row],[Use (hr/yr)]]</f>
        <v>27.487351459696306</v>
      </c>
      <c r="X100" s="180">
        <f>Implements712[[#This Row],[PriceL]]*(VLOOKUP(Implements712[[#This Row],[ASABEtype]],$BC$6:$BM$52,2)*(Implements712[[#This Row],[Life (yr)]]*Implements712[[#This Row],[Use (hr/yr)]]/1000)^VLOOKUP(Implements712[[#This Row],[ASABEtype]],$BC$6:$BM$52,3))/Implements712[[#This Row],[Life (yr)]]/Implements712[[#This Row],[Use (hr/yr)]]</f>
        <v>10.468096092131628</v>
      </c>
      <c r="Y100" s="180">
        <f>Implements712[[#This Row],[Depr ($/hr)]]+Implements712[[#This Row],[OH ($/hr)]]</f>
        <v>38.308658750570544</v>
      </c>
      <c r="Z100" s="180">
        <f>(Implements712[[#This Row],[PriceP]]-Implements712[[#This Row],[TradeIn$]])/Implements712[[#This Row],[Life (yr)]]/Implements712[[#This Row],[Use (ac/yr)]]</f>
        <v>1.167003727447222</v>
      </c>
      <c r="AA100" s="201">
        <f>((Implements712[[#This Row],[PriceP]]+Implements712[[#This Row],[TradeIn$]])/2*($BP$7+$BP$8+$BP$9)+Implements712[[#This Row],[Shed (ft^2)]]*$BP$12)/Implements712[[#This Row],[Use (ac/yr)]]</f>
        <v>2.9643222162417584</v>
      </c>
      <c r="AB100"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1.1289123236612539</v>
      </c>
      <c r="AC100" s="182">
        <f>IF(Implements712[[#This Row],[Use basis]]="hour","-",$BP$18/(Implements712[[#This Row],[Width]]*Implements712[[#This Row],[Speed]]*Implements712[[#This Row],[Efficiency]]))</f>
        <v>0.10784313725490197</v>
      </c>
      <c r="AD100" s="163">
        <f>IF(Implements712[[#This Row],[Use basis]]=$N$128,Implements712[[#This Row],[Ownership costs ($/hr)]],SUM(Implements712[[#This Row],[Depr ($/ac)2]:[OH ($/ac)]]))</f>
        <v>4.1313259436889807</v>
      </c>
      <c r="AE100" s="240">
        <v>4</v>
      </c>
      <c r="AF100" s="144" t="s">
        <v>464</v>
      </c>
      <c r="AG100" s="163"/>
    </row>
    <row r="101" spans="2:52">
      <c r="B101" s="144" t="str">
        <f>Implements712[[#This Row],[Implement type]]&amp;", "&amp;Implements712[[#This Row],[Width]]&amp;" "&amp;Implements712[[#This Row],[Width Unit]]</f>
        <v>Subsoiler, 20 Ft Folding</v>
      </c>
      <c r="C101" s="170" t="s">
        <v>621</v>
      </c>
      <c r="D101" s="171">
        <v>20</v>
      </c>
      <c r="E101" s="170" t="s">
        <v>421</v>
      </c>
      <c r="F101" s="171"/>
      <c r="G101" s="170" t="s">
        <v>635</v>
      </c>
      <c r="H101" s="172">
        <v>34700</v>
      </c>
      <c r="I101" s="173">
        <v>0.1</v>
      </c>
      <c r="J101" s="174">
        <f t="shared" si="8"/>
        <v>38555.555555555555</v>
      </c>
      <c r="K101" s="198">
        <f>VLOOKUP(Implements712[[#This Row],[ASABEtype]],ASABECoefficients813[],4,FALSE)/Implements712[[#This Row],[Use (hr/yr)]]</f>
        <v>40</v>
      </c>
      <c r="L101" s="199">
        <v>50</v>
      </c>
      <c r="M101" s="176">
        <f>IF(Implements712[[#This Row],[Use basis]]="hour",,L101*(D101*P101*Q101)/8.25)</f>
        <v>618.18181818181813</v>
      </c>
      <c r="N101" s="200" t="s">
        <v>654</v>
      </c>
      <c r="O101" s="171" t="s">
        <v>414</v>
      </c>
      <c r="P101" s="171">
        <v>6</v>
      </c>
      <c r="Q101" s="173">
        <v>0.85</v>
      </c>
      <c r="R101" s="173">
        <v>1.05</v>
      </c>
      <c r="S101" s="171">
        <v>120</v>
      </c>
      <c r="T101"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0.13614301476181845</v>
      </c>
      <c r="U101" s="179">
        <f>Implements712[[#This Row],[TradeIn%]]*Implements712[[#This Row],[PriceL]]</f>
        <v>5249.0695691501114</v>
      </c>
      <c r="V101" s="180">
        <f>(Implements712[[#This Row],[PriceP]]-Implements712[[#This Row],[TradeIn$]])/Implements712[[#This Row],[Life (yr)]]/Implements712[[#This Row],[Use (hr/yr)]]</f>
        <v>14.725465215424945</v>
      </c>
      <c r="W101" s="180">
        <f>((Implements712[[#This Row],[PriceP]]+Implements712[[#This Row],[TradeIn$]])/2*($BP$7+$BP$8+$BP$9)+Implements712[[#This Row],[Shed (ft^2)]]*$BP$12)/Implements712[[#This Row],[Use (hr/yr)]]</f>
        <v>36.276199829469093</v>
      </c>
      <c r="X101" s="180">
        <f>Implements712[[#This Row],[PriceL]]*(VLOOKUP(Implements712[[#This Row],[ASABEtype]],$BC$6:$BM$52,2)*(Implements712[[#This Row],[Life (yr)]]*Implements712[[#This Row],[Use (hr/yr)]]/1000)^VLOOKUP(Implements712[[#This Row],[ASABEtype]],$BC$6:$BM$52,3))/Implements712[[#This Row],[Life (yr)]]/Implements712[[#This Row],[Use (hr/yr)]]</f>
        <v>14.244820956743823</v>
      </c>
      <c r="Y101" s="180">
        <f>Implements712[[#This Row],[Depr ($/hr)]]+Implements712[[#This Row],[OH ($/hr)]]</f>
        <v>51.00166504489404</v>
      </c>
      <c r="Z101" s="180">
        <f>(Implements712[[#This Row],[PriceP]]-Implements712[[#This Row],[TradeIn$]])/Implements712[[#This Row],[Life (yr)]]/Implements712[[#This Row],[Use (ac/yr)]]</f>
        <v>1.1910302747770176</v>
      </c>
      <c r="AA101" s="201">
        <f>((Implements712[[#This Row],[PriceP]]+Implements712[[#This Row],[TradeIn$]])/2*($BP$7+$BP$8+$BP$9)+Implements712[[#This Row],[Shed (ft^2)]]*$BP$12)/Implements712[[#This Row],[Use (ac/yr)]]</f>
        <v>2.9341043979717649</v>
      </c>
      <c r="AB101"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1.152154636207221</v>
      </c>
      <c r="AC101" s="182">
        <f>IF(Implements712[[#This Row],[Use basis]]="hour","-",$BP$18/(Implements712[[#This Row],[Width]]*Implements712[[#This Row],[Speed]]*Implements712[[#This Row],[Efficiency]]))</f>
        <v>8.0882352941176475E-2</v>
      </c>
      <c r="AD101" s="163">
        <f>IF(Implements712[[#This Row],[Use basis]]=$N$128,Implements712[[#This Row],[Ownership costs ($/hr)]],SUM(Implements712[[#This Row],[Depr ($/ac)2]:[OH ($/ac)]]))</f>
        <v>4.1251346727487821</v>
      </c>
      <c r="AE101" s="240">
        <v>5</v>
      </c>
      <c r="AF101" s="144" t="s">
        <v>464</v>
      </c>
      <c r="AG101" s="163"/>
    </row>
    <row r="102" spans="2:52">
      <c r="B102" s="144" t="str">
        <f>Implements712[[#This Row],[Implement type]]&amp;", "&amp;Implements712[[#This Row],[Width]]&amp;" "&amp;Implements712[[#This Row],[Width Unit]]&amp; ", per "&amp;Implements712[[#This Row],[Use basis]]</f>
        <v>Chisel plow, 55 Ft Folding, per acre</v>
      </c>
      <c r="C102" s="238" t="s">
        <v>414</v>
      </c>
      <c r="D102" s="171">
        <v>55</v>
      </c>
      <c r="E102" s="238" t="str">
        <f>IF(D102&gt;15,"Ft Folding","Ft")</f>
        <v>Ft Folding</v>
      </c>
      <c r="F102" s="171"/>
      <c r="G102" s="171"/>
      <c r="H102" s="227">
        <v>141000</v>
      </c>
      <c r="I102" s="228">
        <v>0.15</v>
      </c>
      <c r="J102" s="174">
        <f t="shared" si="8"/>
        <v>165882.35294117648</v>
      </c>
      <c r="K102" s="198">
        <f>VLOOKUP(Implements712[[#This Row],[ASABEtype]],ASABECoefficients813[],4,FALSE)/Implements712[[#This Row],[Use (hr/yr)]]</f>
        <v>33.333333333333336</v>
      </c>
      <c r="L102" s="171">
        <v>60</v>
      </c>
      <c r="M102" s="176">
        <f>IF(Implements712[[#This Row],[Use basis]]="hour",,L102*(D102*P102*Q102)/8.25)</f>
        <v>1700</v>
      </c>
      <c r="N102" s="177" t="s">
        <v>654</v>
      </c>
      <c r="O102" s="171" t="s">
        <v>414</v>
      </c>
      <c r="P102" s="171">
        <v>5</v>
      </c>
      <c r="Q102" s="228">
        <v>0.85</v>
      </c>
      <c r="R102" s="228">
        <v>1.05</v>
      </c>
      <c r="S102" s="171">
        <v>370</v>
      </c>
      <c r="T102"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0.16583589106640825</v>
      </c>
      <c r="U102" s="179">
        <f>Implements712[[#This Row],[TradeIn%]]*Implements712[[#This Row],[PriceL]]</f>
        <v>27509.247812192429</v>
      </c>
      <c r="V102" s="180">
        <f>(Implements712[[#This Row],[PriceP]]-Implements712[[#This Row],[TradeIn$]])/Implements712[[#This Row],[Life (yr)]]/Implements712[[#This Row],[Use (hr/yr)]]</f>
        <v>56.745376093903786</v>
      </c>
      <c r="W102" s="180">
        <f>((Implements712[[#This Row],[PriceP]]+Implements712[[#This Row],[TradeIn$]])/2*($BP$7+$BP$8+$BP$9)+Implements712[[#This Row],[Shed (ft^2)]]*$BP$12)/Implements712[[#This Row],[Use (hr/yr)]]</f>
        <v>125.69829426540456</v>
      </c>
      <c r="X102" s="180">
        <f>Implements712[[#This Row],[PriceL]]*(VLOOKUP(Implements712[[#This Row],[ASABEtype]],$BC$6:$BM$52,2)*(Implements712[[#This Row],[Life (yr)]]*Implements712[[#This Row],[Use (hr/yr)]]/1000)^VLOOKUP(Implements712[[#This Row],[ASABEtype]],$BC$6:$BM$52,3))/Implements712[[#This Row],[Life (yr)]]/Implements712[[#This Row],[Use (hr/yr)]]</f>
        <v>61.287261549781036</v>
      </c>
      <c r="Y102" s="180">
        <f>Implements712[[#This Row],[Depr ($/hr)]]+Implements712[[#This Row],[OH ($/hr)]]</f>
        <v>182.44367035930833</v>
      </c>
      <c r="Z102" s="180">
        <f>(Implements712[[#This Row],[PriceP]]-Implements712[[#This Row],[TradeIn$]])/Implements712[[#This Row],[Life (yr)]]/Implements712[[#This Row],[Use (ac/yr)]]</f>
        <v>2.0027779797848395</v>
      </c>
      <c r="AA102" s="201">
        <f>((Implements712[[#This Row],[PriceP]]+Implements712[[#This Row],[TradeIn$]])/2*($BP$7+$BP$8+$BP$9)+Implements712[[#This Row],[Shed (ft^2)]]*$BP$12)/Implements712[[#This Row],[Use (ac/yr)]]</f>
        <v>4.4364103858378083</v>
      </c>
      <c r="AB102"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2.1630798194040364</v>
      </c>
      <c r="AC102" s="182">
        <f>IF(Implements712[[#This Row],[Use basis]]="hour","-",$BP$18/(Implements712[[#This Row],[Width]]*Implements712[[#This Row],[Speed]]*Implements712[[#This Row],[Efficiency]]))</f>
        <v>3.5294117647058823E-2</v>
      </c>
      <c r="AD102" s="163">
        <f>IF(Implements712[[#This Row],[Use basis]]=$N$128,Implements712[[#This Row],[Ownership costs ($/hr)]],SUM(Implements712[[#This Row],[Depr ($/ac)2]:[OH ($/ac)]]))</f>
        <v>6.4391883656226483</v>
      </c>
      <c r="AE102" s="240">
        <v>3</v>
      </c>
      <c r="AF102" s="144" t="s">
        <v>464</v>
      </c>
      <c r="AG102" s="163"/>
    </row>
    <row r="103" spans="2:52">
      <c r="B103" s="144" t="str">
        <f>Implements712[[#This Row],[Implement type]]&amp;", "&amp;Implements712[[#This Row],[Width]]&amp;" "&amp;Implements712[[#This Row],[Width Unit]]&amp; ", per "&amp;Implements712[[#This Row],[Use basis]]</f>
        <v>Chisel plow, front dsk , 16 Ft Folding, per acre</v>
      </c>
      <c r="C103" s="170" t="s">
        <v>465</v>
      </c>
      <c r="D103" s="171">
        <v>16</v>
      </c>
      <c r="E103" s="238" t="str">
        <f>IF(D103&gt;15,"Ft Folding","Ft")</f>
        <v>Ft Folding</v>
      </c>
      <c r="F103" s="171"/>
      <c r="G103" s="171"/>
      <c r="H103" s="227">
        <v>34500</v>
      </c>
      <c r="I103" s="228">
        <v>0.1</v>
      </c>
      <c r="J103" s="174">
        <f t="shared" si="8"/>
        <v>38333.333333333336</v>
      </c>
      <c r="K103" s="198">
        <f>VLOOKUP(Implements712[[#This Row],[ASABEtype]],ASABECoefficients813[],4,FALSE)/Implements712[[#This Row],[Use (hr/yr)]]</f>
        <v>25</v>
      </c>
      <c r="L103" s="171">
        <v>80</v>
      </c>
      <c r="M103" s="176">
        <f>IF(Implements712[[#This Row],[Use basis]]="hour",,L103*(D103*P103*Q103)/8.25)</f>
        <v>659.39393939393938</v>
      </c>
      <c r="N103" s="177" t="s">
        <v>654</v>
      </c>
      <c r="O103" s="171" t="s">
        <v>413</v>
      </c>
      <c r="P103" s="171">
        <v>5</v>
      </c>
      <c r="Q103" s="228">
        <v>0.85</v>
      </c>
      <c r="R103" s="228">
        <v>1.05</v>
      </c>
      <c r="S103" s="171">
        <v>225</v>
      </c>
      <c r="T103"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0.21332661162682495</v>
      </c>
      <c r="U103" s="179">
        <f>Implements712[[#This Row],[TradeIn%]]*Implements712[[#This Row],[PriceL]]</f>
        <v>8177.5201123616234</v>
      </c>
      <c r="V103" s="180">
        <f>(Implements712[[#This Row],[PriceP]]-Implements712[[#This Row],[TradeIn$]])/Implements712[[#This Row],[Life (yr)]]/Implements712[[#This Row],[Use (hr/yr)]]</f>
        <v>13.161239943819188</v>
      </c>
      <c r="W103" s="180">
        <f>((Implements712[[#This Row],[PriceP]]+Implements712[[#This Row],[TradeIn$]])/2*($BP$7+$BP$8+$BP$9)+Implements712[[#This Row],[Shed (ft^2)]]*$BP$12)/Implements712[[#This Row],[Use (hr/yr)]]</f>
        <v>25.189167060394368</v>
      </c>
      <c r="X103" s="180">
        <f>Implements712[[#This Row],[PriceL]]*(VLOOKUP(Implements712[[#This Row],[ASABEtype]],$BC$6:$BM$52,2)*(Implements712[[#This Row],[Life (yr)]]*Implements712[[#This Row],[Use (hr/yr)]]/1000)^VLOOKUP(Implements712[[#This Row],[ASABEtype]],$BC$6:$BM$52,3))/Implements712[[#This Row],[Life (yr)]]/Implements712[[#This Row],[Use (hr/yr)]]</f>
        <v>11.209083069716048</v>
      </c>
      <c r="Y103" s="180">
        <f>Implements712[[#This Row],[Depr ($/hr)]]+Implements712[[#This Row],[OH ($/hr)]]</f>
        <v>38.350407004213558</v>
      </c>
      <c r="Z103" s="180">
        <f>(Implements712[[#This Row],[PriceP]]-Implements712[[#This Row],[TradeIn$]])/Implements712[[#This Row],[Life (yr)]]/Implements712[[#This Row],[Use (ac/yr)]]</f>
        <v>1.5967680814192398</v>
      </c>
      <c r="AA103" s="201">
        <f>((Implements712[[#This Row],[PriceP]]+Implements712[[#This Row],[TradeIn$]])/2*($BP$7+$BP$8+$BP$9)+Implements712[[#This Row],[Shed (ft^2)]]*$BP$12)/Implements712[[#This Row],[Use (ac/yr)]]</f>
        <v>3.0560386507096111</v>
      </c>
      <c r="AB103"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1.3599255194876088</v>
      </c>
      <c r="AC103" s="182">
        <f>IF(Implements712[[#This Row],[Use basis]]="hour","-",$BP$18/(Implements712[[#This Row],[Width]]*Implements712[[#This Row],[Speed]]*Implements712[[#This Row],[Efficiency]]))</f>
        <v>0.12132352941176471</v>
      </c>
      <c r="AD103" s="163">
        <f>IF(Implements712[[#This Row],[Use basis]]=$N$128,Implements712[[#This Row],[Ownership costs ($/hr)]],SUM(Implements712[[#This Row],[Depr ($/ac)2]:[OH ($/ac)]]))</f>
        <v>4.6528067321288509</v>
      </c>
      <c r="AE103" s="240">
        <v>4</v>
      </c>
      <c r="AF103" s="144" t="s">
        <v>464</v>
      </c>
      <c r="AG103" s="163"/>
    </row>
    <row r="104" spans="2:52">
      <c r="B104" s="144" t="str">
        <f>Implements712[[#This Row],[Implement type]]&amp;", "&amp;Implements712[[#This Row],[Width]]&amp;" "&amp;Implements712[[#This Row],[Width Unit]]&amp; ", per "&amp;Implements712[[#This Row],[Use basis]]</f>
        <v>Chisel plow, front dsk , 21 Ft Folding, per acre</v>
      </c>
      <c r="C104" s="170" t="s">
        <v>465</v>
      </c>
      <c r="D104" s="171">
        <v>21</v>
      </c>
      <c r="E104" s="238" t="str">
        <f>IF(D104&gt;15,"Ft Folding","Ft")</f>
        <v>Ft Folding</v>
      </c>
      <c r="F104" s="171"/>
      <c r="G104" s="171"/>
      <c r="H104" s="227">
        <v>48500</v>
      </c>
      <c r="I104" s="228">
        <v>0.1</v>
      </c>
      <c r="J104" s="174">
        <f t="shared" si="8"/>
        <v>53888.888888888891</v>
      </c>
      <c r="K104" s="198">
        <f>VLOOKUP(Implements712[[#This Row],[ASABEtype]],ASABECoefficients813[],4,FALSE)/Implements712[[#This Row],[Use (hr/yr)]]</f>
        <v>25</v>
      </c>
      <c r="L104" s="171">
        <v>80</v>
      </c>
      <c r="M104" s="176">
        <f>IF(Implements712[[#This Row],[Use basis]]="hour",,L104*(D104*P104*Q104)/8.25)</f>
        <v>865.4545454545455</v>
      </c>
      <c r="N104" s="177" t="s">
        <v>654</v>
      </c>
      <c r="O104" s="171" t="s">
        <v>413</v>
      </c>
      <c r="P104" s="171">
        <v>5</v>
      </c>
      <c r="Q104" s="228">
        <v>0.85</v>
      </c>
      <c r="R104" s="228">
        <v>1.05</v>
      </c>
      <c r="S104" s="171">
        <v>225</v>
      </c>
      <c r="T104"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0.21332661162682495</v>
      </c>
      <c r="U104" s="179">
        <f>Implements712[[#This Row],[TradeIn%]]*Implements712[[#This Row],[PriceL]]</f>
        <v>11495.934071001122</v>
      </c>
      <c r="V104" s="180">
        <f>(Implements712[[#This Row],[PriceP]]-Implements712[[#This Row],[TradeIn$]])/Implements712[[#This Row],[Life (yr)]]/Implements712[[#This Row],[Use (hr/yr)]]</f>
        <v>18.502032964499438</v>
      </c>
      <c r="W104" s="180">
        <f>((Implements712[[#This Row],[PriceP]]+Implements712[[#This Row],[TradeIn$]])/2*($BP$7+$BP$8+$BP$9)+Implements712[[#This Row],[Shed (ft^2)]]*$BP$12)/Implements712[[#This Row],[Use (hr/yr)]]</f>
        <v>34.497814563163104</v>
      </c>
      <c r="X104" s="180">
        <f>Implements712[[#This Row],[PriceL]]*(VLOOKUP(Implements712[[#This Row],[ASABEtype]],$BC$6:$BM$52,2)*(Implements712[[#This Row],[Life (yr)]]*Implements712[[#This Row],[Use (hr/yr)]]/1000)^VLOOKUP(Implements712[[#This Row],[ASABEtype]],$BC$6:$BM$52,3))/Implements712[[#This Row],[Life (yr)]]/Implements712[[#This Row],[Use (hr/yr)]]</f>
        <v>15.757696489310968</v>
      </c>
      <c r="Y104" s="180">
        <f>Implements712[[#This Row],[Depr ($/hr)]]+Implements712[[#This Row],[OH ($/hr)]]</f>
        <v>52.999847527662538</v>
      </c>
      <c r="Z104" s="180">
        <f>(Implements712[[#This Row],[PriceP]]-Implements712[[#This Row],[TradeIn$]])/Implements712[[#This Row],[Life (yr)]]/Implements712[[#This Row],[Use (ac/yr)]]</f>
        <v>1.7102719547016285</v>
      </c>
      <c r="AA104" s="201">
        <f>((Implements712[[#This Row],[PriceP]]+Implements712[[#This Row],[TradeIn$]])/2*($BP$7+$BP$8+$BP$9)+Implements712[[#This Row],[Shed (ft^2)]]*$BP$12)/Implements712[[#This Row],[Use (ac/yr)]]</f>
        <v>3.1888736150823034</v>
      </c>
      <c r="AB104"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1.4565937931295851</v>
      </c>
      <c r="AC104" s="182">
        <f>IF(Implements712[[#This Row],[Use basis]]="hour","-",$BP$18/(Implements712[[#This Row],[Width]]*Implements712[[#This Row],[Speed]]*Implements712[[#This Row],[Efficiency]]))</f>
        <v>9.2436974789915971E-2</v>
      </c>
      <c r="AD104" s="163">
        <f>IF(Implements712[[#This Row],[Use basis]]=$N$128,Implements712[[#This Row],[Ownership costs ($/hr)]],SUM(Implements712[[#This Row],[Depr ($/ac)2]:[OH ($/ac)]]))</f>
        <v>4.8991455697839319</v>
      </c>
      <c r="AE104" s="240">
        <v>5</v>
      </c>
      <c r="AF104" s="144" t="s">
        <v>464</v>
      </c>
      <c r="AG104" s="163"/>
    </row>
    <row r="105" spans="2:52">
      <c r="B105" s="144" t="str">
        <f>Implements712[[#This Row],[Implement type]]&amp;", "&amp;Implements712[[#This Row],[Width]]&amp;" "&amp;Implements712[[#This Row],[Width Unit]]&amp; ", per "&amp;Implements712[[#This Row],[Use basis]]</f>
        <v>Moldboard plow, 12 Ft, per acre</v>
      </c>
      <c r="C105" s="238" t="s">
        <v>466</v>
      </c>
      <c r="D105" s="171">
        <v>12</v>
      </c>
      <c r="E105" s="238" t="str">
        <f>IF(D105&gt;15,"Ft Folding","Ft")</f>
        <v>Ft</v>
      </c>
      <c r="F105" s="171">
        <v>8</v>
      </c>
      <c r="G105" s="170" t="s">
        <v>467</v>
      </c>
      <c r="H105" s="227">
        <v>59500</v>
      </c>
      <c r="I105" s="228">
        <v>0.05</v>
      </c>
      <c r="J105" s="174">
        <f t="shared" si="8"/>
        <v>62631.578947368427</v>
      </c>
      <c r="K105" s="198">
        <f>VLOOKUP(Implements712[[#This Row],[ASABEtype]],ASABECoefficients813[],4,FALSE)/Implements712[[#This Row],[Use (hr/yr)]]</f>
        <v>50</v>
      </c>
      <c r="L105" s="171">
        <v>40</v>
      </c>
      <c r="M105" s="176">
        <f>IF(Implements712[[#This Row],[Use basis]]="hour",,L105*(D105*P105*Q105)/8.25)</f>
        <v>183.27272727272728</v>
      </c>
      <c r="N105" s="177" t="s">
        <v>654</v>
      </c>
      <c r="O105" s="171" t="s">
        <v>545</v>
      </c>
      <c r="P105" s="171">
        <v>4.5</v>
      </c>
      <c r="Q105" s="228">
        <v>0.7</v>
      </c>
      <c r="R105" s="228">
        <v>1.05</v>
      </c>
      <c r="S105" s="171">
        <v>150</v>
      </c>
      <c r="T105"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0.10070514304789914</v>
      </c>
      <c r="U105" s="179">
        <f>Implements712[[#This Row],[TradeIn%]]*Implements712[[#This Row],[PriceL]]</f>
        <v>6307.3221172105259</v>
      </c>
      <c r="V105" s="180">
        <f>(Implements712[[#This Row],[PriceP]]-Implements712[[#This Row],[TradeIn$]])/Implements712[[#This Row],[Life (yr)]]/Implements712[[#This Row],[Use (hr/yr)]]</f>
        <v>26.596338941394738</v>
      </c>
      <c r="W105" s="180">
        <f>((Implements712[[#This Row],[PriceP]]+Implements712[[#This Row],[TradeIn$]])/2*($BP$7+$BP$8+$BP$9)+Implements712[[#This Row],[Shed (ft^2)]]*$BP$12)/Implements712[[#This Row],[Use (hr/yr)]]</f>
        <v>73.74287127600131</v>
      </c>
      <c r="X105" s="180">
        <f>Implements712[[#This Row],[PriceL]]*(VLOOKUP(Implements712[[#This Row],[ASABEtype]],$BC$6:$BM$52,2)*(Implements712[[#This Row],[Life (yr)]]*Implements712[[#This Row],[Use (hr/yr)]]/1000)^VLOOKUP(Implements712[[#This Row],[ASABEtype]],$BC$6:$BM$52,3))/Implements712[[#This Row],[Life (yr)]]/Implements712[[#This Row],[Use (hr/yr)]]</f>
        <v>31.623894672999207</v>
      </c>
      <c r="Y105" s="180">
        <f>Implements712[[#This Row],[Depr ($/hr)]]+Implements712[[#This Row],[OH ($/hr)]]</f>
        <v>100.33921021739604</v>
      </c>
      <c r="Z105" s="180">
        <f>(Implements712[[#This Row],[PriceP]]-Implements712[[#This Row],[TradeIn$]])/Implements712[[#This Row],[Life (yr)]]/Implements712[[#This Row],[Use (ac/yr)]]</f>
        <v>5.8047565149869467</v>
      </c>
      <c r="AA105" s="201">
        <f>((Implements712[[#This Row],[PriceP]]+Implements712[[#This Row],[TradeIn$]])/2*($BP$7+$BP$8+$BP$9)+Implements712[[#This Row],[Shed (ft^2)]]*$BP$12)/Implements712[[#This Row],[Use (ac/yr)]]</f>
        <v>16.094674286428859</v>
      </c>
      <c r="AB105"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6.9020405040276041</v>
      </c>
      <c r="AC105" s="182">
        <f>IF(Implements712[[#This Row],[Use basis]]="hour","-",$BP$18/(Implements712[[#This Row],[Width]]*Implements712[[#This Row],[Speed]]*Implements712[[#This Row],[Efficiency]]))</f>
        <v>0.21825396825396828</v>
      </c>
      <c r="AD105" s="163">
        <f>IF(Implements712[[#This Row],[Use basis]]=$N$128,Implements712[[#This Row],[Ownership costs ($/hr)]],SUM(Implements712[[#This Row],[Depr ($/ac)2]:[OH ($/ac)]]))</f>
        <v>21.899430801415804</v>
      </c>
      <c r="AE105" s="240">
        <v>7</v>
      </c>
      <c r="AF105" s="144" t="s">
        <v>464</v>
      </c>
      <c r="AG105" s="163"/>
      <c r="AZ105" s="169"/>
    </row>
    <row r="106" spans="2:52">
      <c r="B106" s="144" t="str">
        <f>Implements712[[#This Row],[Implement type]]&amp;", "&amp;Implements712[[#This Row],[Width]]&amp;" "&amp;Implements712[[#This Row],[Width Unit]]&amp; ", per "&amp;Implements712[[#This Row],[Use basis]]</f>
        <v>Moldboard plow, 9 Ft, per acre</v>
      </c>
      <c r="C106" s="238" t="s">
        <v>466</v>
      </c>
      <c r="D106" s="171">
        <v>9</v>
      </c>
      <c r="E106" s="238" t="str">
        <f>IF(D106&gt;15,"Ft Folding","Ft")</f>
        <v>Ft</v>
      </c>
      <c r="F106" s="171">
        <v>6</v>
      </c>
      <c r="G106" s="170" t="s">
        <v>467</v>
      </c>
      <c r="H106" s="227">
        <v>33000</v>
      </c>
      <c r="I106" s="228">
        <v>0.05</v>
      </c>
      <c r="J106" s="174">
        <f t="shared" si="8"/>
        <v>34736.84210526316</v>
      </c>
      <c r="K106" s="198">
        <f>VLOOKUP(Implements712[[#This Row],[ASABEtype]],ASABECoefficients813[],4,FALSE)/Implements712[[#This Row],[Use (hr/yr)]]</f>
        <v>50</v>
      </c>
      <c r="L106" s="171">
        <v>40</v>
      </c>
      <c r="M106" s="176">
        <f>IF(Implements712[[#This Row],[Use basis]]="hour",,L106*(D106*P106*Q106)/8.25)</f>
        <v>137.45454545454547</v>
      </c>
      <c r="N106" s="177" t="s">
        <v>654</v>
      </c>
      <c r="O106" s="171" t="s">
        <v>545</v>
      </c>
      <c r="P106" s="171">
        <v>4.5</v>
      </c>
      <c r="Q106" s="228">
        <v>0.7</v>
      </c>
      <c r="R106" s="228">
        <v>1.05</v>
      </c>
      <c r="S106" s="171">
        <v>132</v>
      </c>
      <c r="T106"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0.10070514304789914</v>
      </c>
      <c r="U106" s="179">
        <f>Implements712[[#This Row],[TradeIn%]]*Implements712[[#This Row],[PriceL]]</f>
        <v>3498.1786532428123</v>
      </c>
      <c r="V106" s="180">
        <f>(Implements712[[#This Row],[PriceP]]-Implements712[[#This Row],[TradeIn$]])/Implements712[[#This Row],[Life (yr)]]/Implements712[[#This Row],[Use (hr/yr)]]</f>
        <v>14.750910673378593</v>
      </c>
      <c r="W106" s="180">
        <f>((Implements712[[#This Row],[PriceP]]+Implements712[[#This Row],[TradeIn$]])/2*($BP$7+$BP$8+$BP$9)+Implements712[[#This Row],[Shed (ft^2)]]*$BP$12)/Implements712[[#This Row],[Use (hr/yr)]]</f>
        <v>41.875542052236014</v>
      </c>
      <c r="X106" s="180">
        <f>Implements712[[#This Row],[PriceL]]*(VLOOKUP(Implements712[[#This Row],[ASABEtype]],$BC$6:$BM$52,2)*(Implements712[[#This Row],[Life (yr)]]*Implements712[[#This Row],[Use (hr/yr)]]/1000)^VLOOKUP(Implements712[[#This Row],[ASABEtype]],$BC$6:$BM$52,3))/Implements712[[#This Row],[Life (yr)]]/Implements712[[#This Row],[Use (hr/yr)]]</f>
        <v>17.539302927881913</v>
      </c>
      <c r="Y106" s="180">
        <f>Implements712[[#This Row],[Depr ($/hr)]]+Implements712[[#This Row],[OH ($/hr)]]</f>
        <v>56.626452725614605</v>
      </c>
      <c r="Z106" s="180">
        <f>(Implements712[[#This Row],[PriceP]]-Implements712[[#This Row],[TradeIn$]])/Implements712[[#This Row],[Life (yr)]]/Implements712[[#This Row],[Use (ac/yr)]]</f>
        <v>4.2925930530995897</v>
      </c>
      <c r="AA106" s="201">
        <f>((Implements712[[#This Row],[PriceP]]+Implements712[[#This Row],[TradeIn$]])/2*($BP$7+$BP$8+$BP$9)+Implements712[[#This Row],[Shed (ft^2)]]*$BP$12)/Implements712[[#This Row],[Use (ac/yr)]]</f>
        <v>12.18600430091524</v>
      </c>
      <c r="AB106"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5.1040299525582276</v>
      </c>
      <c r="AC106" s="182">
        <f>IF(Implements712[[#This Row],[Use basis]]="hour","-",$BP$18/(Implements712[[#This Row],[Width]]*Implements712[[#This Row],[Speed]]*Implements712[[#This Row],[Efficiency]]))</f>
        <v>0.29100529100529104</v>
      </c>
      <c r="AD106" s="163">
        <f>IF(Implements712[[#This Row],[Use basis]]=$N$128,Implements712[[#This Row],[Ownership costs ($/hr)]],SUM(Implements712[[#This Row],[Depr ($/ac)2]:[OH ($/ac)]]))</f>
        <v>16.478597354014831</v>
      </c>
      <c r="AE106" s="240">
        <v>6</v>
      </c>
      <c r="AF106" s="144" t="s">
        <v>464</v>
      </c>
      <c r="AG106" s="163"/>
    </row>
    <row r="107" spans="2:52">
      <c r="B107" s="144" t="str">
        <f>Implements712[[#This Row],[Implement type]]&amp;", "&amp;Implements712[[#This Row],[Width]]&amp;" "&amp;Implements712[[#This Row],[Width Unit]]&amp; ", per "&amp;Implements712[[#This Row],[Use basis]]</f>
        <v>Grain trailer, 1000 Bushel HB, per hour</v>
      </c>
      <c r="C107" s="170" t="s">
        <v>666</v>
      </c>
      <c r="D107" s="171">
        <v>1000</v>
      </c>
      <c r="E107" s="170" t="s">
        <v>667</v>
      </c>
      <c r="F107" s="171"/>
      <c r="G107" s="170"/>
      <c r="H107" s="172">
        <v>59900</v>
      </c>
      <c r="I107" s="173">
        <v>0.1</v>
      </c>
      <c r="J107" s="174">
        <f t="shared" si="8"/>
        <v>66555.555555555547</v>
      </c>
      <c r="K107" s="198">
        <f>VLOOKUP(Implements712[[#This Row],[ASABEtype]],ASABECoefficients813[],4,FALSE)/Implements712[[#This Row],[Use (hr/yr)]]</f>
        <v>12</v>
      </c>
      <c r="L107" s="171">
        <v>250</v>
      </c>
      <c r="M107" s="176">
        <f>IF(Implements712[[#This Row],[Use basis]]="hour",,L107*(D107*P107*Q107)/8.25)</f>
        <v>0</v>
      </c>
      <c r="N107" s="177" t="s">
        <v>665</v>
      </c>
      <c r="O107" s="171" t="s">
        <v>431</v>
      </c>
      <c r="P107" s="171">
        <v>50</v>
      </c>
      <c r="Q107" s="173">
        <v>1</v>
      </c>
      <c r="R107" s="173">
        <v>1.1000000000000001</v>
      </c>
      <c r="S107" s="171">
        <v>400</v>
      </c>
      <c r="T107"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0.31763426566985969</v>
      </c>
      <c r="U107" s="179">
        <f>Implements712[[#This Row],[TradeIn%]]*Implements712[[#This Row],[PriceL]]</f>
        <v>21140.325015138438</v>
      </c>
      <c r="V107" s="180">
        <f>(Implements712[[#This Row],[PriceP]]-Implements712[[#This Row],[TradeIn$]])/Implements712[[#This Row],[Life (yr)]]/Implements712[[#This Row],[Use (hr/yr)]]</f>
        <v>12.919891661620518</v>
      </c>
      <c r="W107" s="180">
        <f>((Implements712[[#This Row],[PriceP]]+Implements712[[#This Row],[TradeIn$]])/2*($BP$7+$BP$8+$BP$9)+Implements712[[#This Row],[Shed (ft^2)]]*$BP$12)/Implements712[[#This Row],[Use (hr/yr)]]</f>
        <v>15.21893590260381</v>
      </c>
      <c r="X107" s="180">
        <f>Implements712[[#This Row],[PriceL]]*(VLOOKUP(Implements712[[#This Row],[ASABEtype]],$BC$6:$BM$52,2)*(Implements712[[#This Row],[Life (yr)]]*Implements712[[#This Row],[Use (hr/yr)]]/1000)^VLOOKUP(Implements712[[#This Row],[ASABEtype]],$BC$6:$BM$52,3))/Implements712[[#This Row],[Life (yr)]]/Implements712[[#This Row],[Use (hr/yr)]]</f>
        <v>17.582243497072625</v>
      </c>
      <c r="Y107" s="180">
        <f>Implements712[[#This Row],[Depr ($/hr)]]+Implements712[[#This Row],[OH ($/hr)]]</f>
        <v>28.138827564224329</v>
      </c>
      <c r="Z107" s="180" t="e">
        <f>(Implements712[[#This Row],[PriceP]]-Implements712[[#This Row],[TradeIn$]])/Implements712[[#This Row],[Life (yr)]]/Implements712[[#This Row],[Use (ac/yr)]]</f>
        <v>#DIV/0!</v>
      </c>
      <c r="AA107" s="201" t="e">
        <f>((Implements712[[#This Row],[PriceP]]+Implements712[[#This Row],[TradeIn$]])/2*($BP$7+$BP$8+$BP$9)+Implements712[[#This Row],[Shed (ft^2)]]*$BP$12)/Implements712[[#This Row],[Use (ac/yr)]]</f>
        <v>#DIV/0!</v>
      </c>
      <c r="AB107"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17.582243497072625</v>
      </c>
      <c r="AC107" s="182" t="str">
        <f>IF(Implements712[[#This Row],[Use basis]]="hour","-",$BP$18/(Implements712[[#This Row],[Width]]*Implements712[[#This Row],[Speed]]*Implements712[[#This Row],[Efficiency]]))</f>
        <v>-</v>
      </c>
      <c r="AD107" s="163">
        <f>IF(Implements712[[#This Row],[Use basis]]=$N$128,Implements712[[#This Row],[Ownership costs ($/hr)]],SUM(Implements712[[#This Row],[Depr ($/ac)2]:[OH ($/ac)]]))</f>
        <v>28.138827564224329</v>
      </c>
      <c r="AE107" s="163"/>
      <c r="AF107" s="163" t="s">
        <v>668</v>
      </c>
      <c r="AG107" s="163"/>
    </row>
    <row r="108" spans="2:52">
      <c r="B108" s="144" t="str">
        <f>Implements712[[#This Row],[Implement type]]&amp;", "&amp;Implements712[[#This Row],[Width]]&amp;" "&amp;Implements712[[#This Row],[Width Unit]]&amp; ", per "&amp;Implements712[[#This Row],[Use basis]]</f>
        <v>Hay trailer, 7 Bale, per hour</v>
      </c>
      <c r="C108" s="170" t="s">
        <v>669</v>
      </c>
      <c r="D108" s="171">
        <v>7</v>
      </c>
      <c r="E108" s="170" t="s">
        <v>670</v>
      </c>
      <c r="F108" s="171"/>
      <c r="G108" s="170"/>
      <c r="H108" s="172">
        <v>8250</v>
      </c>
      <c r="I108" s="173">
        <v>0.1</v>
      </c>
      <c r="J108" s="174">
        <f t="shared" si="8"/>
        <v>9166.6666666666661</v>
      </c>
      <c r="K108" s="198">
        <f>VLOOKUP(Implements712[[#This Row],[ASABEtype]],ASABECoefficients813[],4,FALSE)/Implements712[[#This Row],[Use (hr/yr)]]</f>
        <v>30</v>
      </c>
      <c r="L108" s="171">
        <v>100</v>
      </c>
      <c r="M108" s="176">
        <f>IF(Implements712[[#This Row],[Use basis]]="hour",,L108*(D108*P108*Q108)/8.25)</f>
        <v>0</v>
      </c>
      <c r="N108" s="177" t="s">
        <v>665</v>
      </c>
      <c r="O108" s="171" t="s">
        <v>431</v>
      </c>
      <c r="P108" s="171">
        <v>50</v>
      </c>
      <c r="Q108" s="173">
        <v>1</v>
      </c>
      <c r="R108" s="173">
        <v>1.1000000000000001</v>
      </c>
      <c r="S108" s="171">
        <v>300</v>
      </c>
      <c r="T108"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0.11742277039192192</v>
      </c>
      <c r="U108" s="179">
        <f>Implements712[[#This Row],[TradeIn%]]*Implements712[[#This Row],[PriceL]]</f>
        <v>1076.3753952592842</v>
      </c>
      <c r="V108" s="180">
        <f>(Implements712[[#This Row],[PriceP]]-Implements712[[#This Row],[TradeIn$]])/Implements712[[#This Row],[Life (yr)]]/Implements712[[#This Row],[Use (hr/yr)]]</f>
        <v>2.3912082015802385</v>
      </c>
      <c r="W108" s="180">
        <f>((Implements712[[#This Row],[PriceP]]+Implements712[[#This Row],[TradeIn$]])/2*($BP$7+$BP$8+$BP$9)+Implements712[[#This Row],[Shed (ft^2)]]*$BP$12)/Implements712[[#This Row],[Use (hr/yr)]]</f>
        <v>6.4103414199614921</v>
      </c>
      <c r="X108" s="180">
        <f>Implements712[[#This Row],[PriceL]]*(VLOOKUP(Implements712[[#This Row],[ASABEtype]],$BC$6:$BM$52,2)*(Implements712[[#This Row],[Life (yr)]]*Implements712[[#This Row],[Use (hr/yr)]]/1000)^VLOOKUP(Implements712[[#This Row],[ASABEtype]],$BC$6:$BM$52,3))/Implements712[[#This Row],[Life (yr)]]/Implements712[[#This Row],[Use (hr/yr)]]</f>
        <v>2.4215944716335418</v>
      </c>
      <c r="Y108" s="180">
        <f>Implements712[[#This Row],[Depr ($/hr)]]+Implements712[[#This Row],[OH ($/hr)]]</f>
        <v>8.8015496215417315</v>
      </c>
      <c r="Z108" s="180" t="e">
        <f>(Implements712[[#This Row],[PriceP]]-Implements712[[#This Row],[TradeIn$]])/Implements712[[#This Row],[Life (yr)]]/Implements712[[#This Row],[Use (ac/yr)]]</f>
        <v>#DIV/0!</v>
      </c>
      <c r="AA108" s="201" t="e">
        <f>((Implements712[[#This Row],[PriceP]]+Implements712[[#This Row],[TradeIn$]])/2*($BP$7+$BP$8+$BP$9)+Implements712[[#This Row],[Shed (ft^2)]]*$BP$12)/Implements712[[#This Row],[Use (ac/yr)]]</f>
        <v>#DIV/0!</v>
      </c>
      <c r="AB108"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2.4215944716335418</v>
      </c>
      <c r="AC108" s="182" t="str">
        <f>IF(Implements712[[#This Row],[Use basis]]="hour","-",$BP$18/(Implements712[[#This Row],[Width]]*Implements712[[#This Row],[Speed]]*Implements712[[#This Row],[Efficiency]]))</f>
        <v>-</v>
      </c>
      <c r="AD108" s="163">
        <f>IF(Implements712[[#This Row],[Use basis]]=$N$128,Implements712[[#This Row],[Ownership costs ($/hr)]],SUM(Implements712[[#This Row],[Depr ($/ac)2]:[OH ($/ac)]]))</f>
        <v>8.8015496215417315</v>
      </c>
      <c r="AE108" s="163"/>
      <c r="AF108" s="163" t="s">
        <v>668</v>
      </c>
      <c r="AG108" s="163"/>
    </row>
    <row r="109" spans="2:52">
      <c r="B109" s="144" t="str">
        <f>Implements712[[#This Row],[Implement type]]&amp;", "&amp;Implements712[[#This Row],[Width]]&amp;" "&amp;Implements712[[#This Row],[Width Unit]]&amp; ", per "&amp;Implements712[[#This Row],[Use basis]]</f>
        <v>Livestock trailer, 6.5  ton cap. 7x20 gooseneck, per hour</v>
      </c>
      <c r="C109" s="170" t="s">
        <v>671</v>
      </c>
      <c r="D109" s="171">
        <v>6.5</v>
      </c>
      <c r="E109" s="170" t="s">
        <v>672</v>
      </c>
      <c r="F109" s="171"/>
      <c r="G109" s="170"/>
      <c r="H109" s="172">
        <v>21750</v>
      </c>
      <c r="I109" s="173">
        <v>0.1</v>
      </c>
      <c r="J109" s="174">
        <f t="shared" si="8"/>
        <v>24166.666666666668</v>
      </c>
      <c r="K109" s="198">
        <f>VLOOKUP(Implements712[[#This Row],[ASABEtype]],ASABECoefficients813[],4,FALSE)/Implements712[[#This Row],[Use (hr/yr)]]</f>
        <v>30</v>
      </c>
      <c r="L109" s="171">
        <v>100</v>
      </c>
      <c r="M109" s="176">
        <f>IF(Implements712[[#This Row],[Use basis]]="hour",,L109*(D109*P109*Q109)/8.25)</f>
        <v>0</v>
      </c>
      <c r="N109" s="177" t="s">
        <v>665</v>
      </c>
      <c r="O109" s="171" t="s">
        <v>431</v>
      </c>
      <c r="P109" s="171">
        <v>50</v>
      </c>
      <c r="Q109" s="173">
        <v>1</v>
      </c>
      <c r="R109" s="173">
        <v>1.1000000000000001</v>
      </c>
      <c r="S109" s="171">
        <v>250</v>
      </c>
      <c r="T109"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0.11742277039192192</v>
      </c>
      <c r="U109" s="179">
        <f>Implements712[[#This Row],[TradeIn%]]*Implements712[[#This Row],[PriceL]]</f>
        <v>2837.716951138113</v>
      </c>
      <c r="V109" s="180">
        <f>(Implements712[[#This Row],[PriceP]]-Implements712[[#This Row],[TradeIn$]])/Implements712[[#This Row],[Life (yr)]]/Implements712[[#This Row],[Use (hr/yr)]]</f>
        <v>6.3040943496206285</v>
      </c>
      <c r="W109" s="180">
        <f>((Implements712[[#This Row],[PriceP]]+Implements712[[#This Row],[TradeIn$]])/2*($BP$7+$BP$8+$BP$9)+Implements712[[#This Row],[Shed (ft^2)]]*$BP$12)/Implements712[[#This Row],[Use (hr/yr)]]</f>
        <v>12.572718288989387</v>
      </c>
      <c r="X109" s="180">
        <f>Implements712[[#This Row],[PriceL]]*(VLOOKUP(Implements712[[#This Row],[ASABEtype]],$BC$6:$BM$52,2)*(Implements712[[#This Row],[Life (yr)]]*Implements712[[#This Row],[Use (hr/yr)]]/1000)^VLOOKUP(Implements712[[#This Row],[ASABEtype]],$BC$6:$BM$52,3))/Implements712[[#This Row],[Life (yr)]]/Implements712[[#This Row],[Use (hr/yr)]]</f>
        <v>6.3842036070338848</v>
      </c>
      <c r="Y109" s="180">
        <f>Implements712[[#This Row],[Depr ($/hr)]]+Implements712[[#This Row],[OH ($/hr)]]</f>
        <v>18.876812638610016</v>
      </c>
      <c r="Z109" s="180" t="e">
        <f>(Implements712[[#This Row],[PriceP]]-Implements712[[#This Row],[TradeIn$]])/Implements712[[#This Row],[Life (yr)]]/Implements712[[#This Row],[Use (ac/yr)]]</f>
        <v>#DIV/0!</v>
      </c>
      <c r="AA109" s="201" t="e">
        <f>((Implements712[[#This Row],[PriceP]]+Implements712[[#This Row],[TradeIn$]])/2*($BP$7+$BP$8+$BP$9)+Implements712[[#This Row],[Shed (ft^2)]]*$BP$12)/Implements712[[#This Row],[Use (ac/yr)]]</f>
        <v>#DIV/0!</v>
      </c>
      <c r="AB109"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6.3842036070338848</v>
      </c>
      <c r="AC109" s="182" t="str">
        <f>IF(Implements712[[#This Row],[Use basis]]="hour","-",$BP$18/(Implements712[[#This Row],[Width]]*Implements712[[#This Row],[Speed]]*Implements712[[#This Row],[Efficiency]]))</f>
        <v>-</v>
      </c>
      <c r="AD109" s="163">
        <f>IF(Implements712[[#This Row],[Use basis]]=$N$128,Implements712[[#This Row],[Ownership costs ($/hr)]],SUM(Implements712[[#This Row],[Depr ($/ac)2]:[OH ($/ac)]]))</f>
        <v>18.876812638610016</v>
      </c>
      <c r="AE109" s="163"/>
      <c r="AF109" s="163" t="s">
        <v>668</v>
      </c>
      <c r="AG109" s="163"/>
    </row>
    <row r="110" spans="2:52">
      <c r="B110" s="144" t="str">
        <f>Implements712[[#This Row],[Implement type]]&amp;", "&amp;Implements712[[#This Row],[Width]]&amp;" "&amp;Implements712[[#This Row],[Width Unit]]</f>
        <v xml:space="preserve">Flatbed trailer, 7 ton cap.  </v>
      </c>
      <c r="C110" s="170" t="s">
        <v>830</v>
      </c>
      <c r="D110" s="171">
        <v>7</v>
      </c>
      <c r="E110" s="170" t="s">
        <v>831</v>
      </c>
      <c r="F110" s="171"/>
      <c r="G110" s="170"/>
      <c r="H110" s="172">
        <v>7200</v>
      </c>
      <c r="I110" s="173">
        <v>0.15</v>
      </c>
      <c r="J110" s="174">
        <f t="shared" si="8"/>
        <v>8470.5882352941171</v>
      </c>
      <c r="K110" s="198">
        <f>VLOOKUP(Implements712[[#This Row],[ASABEtype]],ASABECoefficients813[],4,FALSE)/Implements712[[#This Row],[Use (hr/yr)]]</f>
        <v>30</v>
      </c>
      <c r="L110" s="171">
        <v>100</v>
      </c>
      <c r="M110" s="176">
        <f>IF(Implements712[[#This Row],[Use basis]]="hour",,L110*(D110*P110*Q110)/8.25)</f>
        <v>0</v>
      </c>
      <c r="N110" s="177" t="s">
        <v>665</v>
      </c>
      <c r="O110" s="171" t="s">
        <v>431</v>
      </c>
      <c r="P110" s="171">
        <v>40</v>
      </c>
      <c r="Q110" s="173">
        <v>1</v>
      </c>
      <c r="R110" s="173">
        <v>1.1000000000000001</v>
      </c>
      <c r="S110" s="171">
        <v>220</v>
      </c>
      <c r="T110"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0.11742277039192192</v>
      </c>
      <c r="U110" s="179">
        <f>Implements712[[#This Row],[TradeIn%]]*Implements712[[#This Row],[PriceL]]</f>
        <v>994.63993743745618</v>
      </c>
      <c r="V110" s="180">
        <f>(Implements712[[#This Row],[PriceP]]-Implements712[[#This Row],[TradeIn$]])/Implements712[[#This Row],[Life (yr)]]/Implements712[[#This Row],[Use (hr/yr)]]</f>
        <v>2.0684533541875147</v>
      </c>
      <c r="W110" s="201">
        <f>((Implements712[[#This Row],[PriceP]]+Implements712[[#This Row],[TradeIn$]])/2*($BP$7+$BP$8+$BP$9)+Implements712[[#This Row],[Shed (ft^2)]]*$BP$12)/Implements712[[#This Row],[Use (hr/yr)]]</f>
        <v>5.2836951730981063</v>
      </c>
      <c r="X110" s="180">
        <f>Implements712[[#This Row],[PriceL]]*(VLOOKUP(Implements712[[#This Row],[ASABEtype]],$BC$6:$BM$52,2)*(Implements712[[#This Row],[Life (yr)]]*Implements712[[#This Row],[Use (hr/yr)]]/1000)^VLOOKUP(Implements712[[#This Row],[ASABEtype]],$BC$6:$BM$52,3))/Implements712[[#This Row],[Life (yr)]]/Implements712[[#This Row],[Use (hr/yr)]]</f>
        <v>2.2377086882260753</v>
      </c>
      <c r="Y110" s="180">
        <f>Implements712[[#This Row],[Depr ($/hr)]]+Implements712[[#This Row],[OH ($/hr)]]</f>
        <v>7.3521485272856211</v>
      </c>
      <c r="Z110" s="180" t="e">
        <f>(Implements712[[#This Row],[PriceP]]-Implements712[[#This Row],[TradeIn$]])/Implements712[[#This Row],[Life (yr)]]/Implements712[[#This Row],[Use (ac/yr)]]</f>
        <v>#DIV/0!</v>
      </c>
      <c r="AA110" s="201" t="e">
        <f>((Implements712[[#This Row],[PriceP]]+Implements712[[#This Row],[TradeIn$]])/2*($BP$7+$BP$8+$BP$9)+Implements712[[#This Row],[Shed (ft^2)]]*$BP$12)/Implements712[[#This Row],[Use (ac/yr)]]</f>
        <v>#DIV/0!</v>
      </c>
      <c r="AB110"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2.2377086882260753</v>
      </c>
      <c r="AC110" s="182" t="str">
        <f>IF(Implements712[[#This Row],[Use basis]]="hour","-",$BP$18/(Implements712[[#This Row],[Width]]*Implements712[[#This Row],[Speed]]*Implements712[[#This Row],[Efficiency]]))</f>
        <v>-</v>
      </c>
      <c r="AD110" s="163">
        <f>IF(Implements712[[#This Row],[Use basis]]=$N$128,Implements712[[#This Row],[Ownership costs ($/hr)]],SUM(Implements712[[#This Row],[Depr ($/ac)2]:[OH ($/ac)]]))</f>
        <v>7.3521485272856211</v>
      </c>
      <c r="AE110" s="163"/>
      <c r="AF110" s="163" t="s">
        <v>668</v>
      </c>
      <c r="AG110" s="163"/>
    </row>
    <row r="111" spans="2:52">
      <c r="B111" s="144" t="str">
        <f>Implements712[[#This Row],[Implement type]]&amp;", "&amp;Implements712[[#This Row],[Width]]&amp;" "&amp;Implements712[[#This Row],[Width Unit]]</f>
        <v xml:space="preserve">Orchard work platform,  </v>
      </c>
      <c r="C111" s="170" t="s">
        <v>832</v>
      </c>
      <c r="D111" s="171"/>
      <c r="E111" s="170"/>
      <c r="F111" s="171"/>
      <c r="G111" s="170" t="s">
        <v>833</v>
      </c>
      <c r="H111" s="172">
        <v>22500</v>
      </c>
      <c r="I111" s="173">
        <v>0.1</v>
      </c>
      <c r="J111" s="174">
        <f t="shared" si="8"/>
        <v>25000</v>
      </c>
      <c r="K111" s="198">
        <f>VLOOKUP(Implements712[[#This Row],[ASABEtype]],ASABECoefficients813[],4,FALSE)/Implements712[[#This Row],[Use (hr/yr)]]</f>
        <v>20</v>
      </c>
      <c r="L111" s="171">
        <v>100</v>
      </c>
      <c r="M111" s="176">
        <f>IF(Implements712[[#This Row],[Use basis]]="hour",,L111*(D111*P111*Q111)/8.25)</f>
        <v>0</v>
      </c>
      <c r="N111" s="177" t="s">
        <v>665</v>
      </c>
      <c r="O111" s="171" t="s">
        <v>541</v>
      </c>
      <c r="P111" s="171">
        <v>4</v>
      </c>
      <c r="Q111" s="173">
        <v>0.85</v>
      </c>
      <c r="R111" s="173">
        <v>1.1000000000000001</v>
      </c>
      <c r="S111" s="171">
        <v>200</v>
      </c>
      <c r="T111"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0.20492136520874407</v>
      </c>
      <c r="U111" s="179">
        <f>Implements712[[#This Row],[TradeIn%]]*Implements712[[#This Row],[PriceL]]</f>
        <v>5123.0341302186016</v>
      </c>
      <c r="V111" s="180">
        <f>(Implements712[[#This Row],[PriceP]]-Implements712[[#This Row],[TradeIn$]])/Implements712[[#This Row],[Life (yr)]]/Implements712[[#This Row],[Use (hr/yr)]]</f>
        <v>8.6884829348906987</v>
      </c>
      <c r="W111" s="201">
        <f>((Implements712[[#This Row],[PriceP]]+Implements712[[#This Row],[TradeIn$]])/2*($BP$7+$BP$8+$BP$9)+Implements712[[#This Row],[Shed (ft^2)]]*$BP$12)/Implements712[[#This Row],[Use (hr/yr)]]</f>
        <v>13.477904675993997</v>
      </c>
      <c r="X111" s="180">
        <f>Implements712[[#This Row],[PriceL]]*(VLOOKUP(Implements712[[#This Row],[ASABEtype]],$BC$6:$BM$52,2)*(Implements712[[#This Row],[Life (yr)]]*Implements712[[#This Row],[Use (hr/yr)]]/1000)^VLOOKUP(Implements712[[#This Row],[ASABEtype]],$BC$6:$BM$52,3))/Implements712[[#This Row],[Life (yr)]]/Implements712[[#This Row],[Use (hr/yr)]]</f>
        <v>6.062866266041592</v>
      </c>
      <c r="Y111" s="180">
        <f>Implements712[[#This Row],[Depr ($/hr)]]+Implements712[[#This Row],[OH ($/hr)]]</f>
        <v>22.166387610884698</v>
      </c>
      <c r="Z111" s="180" t="e">
        <f>(Implements712[[#This Row],[PriceP]]-Implements712[[#This Row],[TradeIn$]])/Implements712[[#This Row],[Life (yr)]]/Implements712[[#This Row],[Use (ac/yr)]]</f>
        <v>#DIV/0!</v>
      </c>
      <c r="AA111" s="201" t="e">
        <f>((Implements712[[#This Row],[PriceP]]+Implements712[[#This Row],[TradeIn$]])/2*($BP$7+$BP$8+$BP$9)+Implements712[[#This Row],[Shed (ft^2)]]*$BP$12)/Implements712[[#This Row],[Use (ac/yr)]]</f>
        <v>#DIV/0!</v>
      </c>
      <c r="AB111"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6.062866266041592</v>
      </c>
      <c r="AC111" s="182" t="str">
        <f>IF(Implements712[[#This Row],[Use basis]]="hour","-",$BP$18/(Implements712[[#This Row],[Width]]*Implements712[[#This Row],[Speed]]*Implements712[[#This Row],[Efficiency]]))</f>
        <v>-</v>
      </c>
      <c r="AD111" s="163">
        <f>IF(Implements712[[#This Row],[Use basis]]=$N$128,Implements712[[#This Row],[Ownership costs ($/hr)]],SUM(Implements712[[#This Row],[Depr ($/ac)2]:[OH ($/ac)]]))</f>
        <v>22.166387610884698</v>
      </c>
      <c r="AE111" s="163"/>
      <c r="AF111" s="163" t="s">
        <v>668</v>
      </c>
      <c r="AG111" s="163"/>
    </row>
    <row r="112" spans="2:52">
      <c r="B112" s="144" t="str">
        <f>Implements712[[#This Row],[Implement type]]&amp;", "&amp;Implements712[[#This Row],[Width]]&amp;" "&amp;Implements712[[#This Row],[Width Unit]]</f>
        <v>Vegetable transplanter, 12 Ft</v>
      </c>
      <c r="C112" s="170" t="s">
        <v>624</v>
      </c>
      <c r="D112" s="171">
        <v>12</v>
      </c>
      <c r="E112" s="170" t="s">
        <v>402</v>
      </c>
      <c r="F112" s="171"/>
      <c r="G112" s="170" t="s">
        <v>637</v>
      </c>
      <c r="H112" s="172">
        <v>25000</v>
      </c>
      <c r="I112" s="173">
        <v>0.2</v>
      </c>
      <c r="J112" s="174">
        <f t="shared" si="8"/>
        <v>31250</v>
      </c>
      <c r="K112" s="198">
        <f>VLOOKUP(Implements712[[#This Row],[ASABEtype]],ASABECoefficients813[],4,FALSE)/Implements712[[#This Row],[Use (hr/yr)]]</f>
        <v>8</v>
      </c>
      <c r="L112" s="199">
        <v>250</v>
      </c>
      <c r="M112" s="176">
        <f>IF(Implements712[[#This Row],[Use basis]]="hour",,L112*(D112*P112*Q112)/8.25)</f>
        <v>509.09090909090901</v>
      </c>
      <c r="N112" s="200" t="s">
        <v>654</v>
      </c>
      <c r="O112" s="171" t="s">
        <v>473</v>
      </c>
      <c r="P112" s="171">
        <v>2</v>
      </c>
      <c r="Q112" s="173">
        <v>0.7</v>
      </c>
      <c r="R112" s="173">
        <v>1.1499999999999999</v>
      </c>
      <c r="S112" s="171">
        <v>240</v>
      </c>
      <c r="T112"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0.37541365663700899</v>
      </c>
      <c r="U112" s="179">
        <f>Implements712[[#This Row],[TradeIn%]]*Implements712[[#This Row],[PriceL]]</f>
        <v>11731.676769906531</v>
      </c>
      <c r="V112" s="180">
        <f>(Implements712[[#This Row],[PriceP]]-Implements712[[#This Row],[TradeIn$]])/Implements712[[#This Row],[Life (yr)]]/Implements712[[#This Row],[Use (hr/yr)]]</f>
        <v>6.6341616150467342</v>
      </c>
      <c r="W112" s="201">
        <f>((Implements712[[#This Row],[PriceP]]+Implements712[[#This Row],[TradeIn$]])/2*($BP$7+$BP$8+$BP$9)+Implements712[[#This Row],[Shed (ft^2)]]*$BP$12)/Implements712[[#This Row],[Use (hr/yr)]]</f>
        <v>7.0858484044239232</v>
      </c>
      <c r="X112" s="180">
        <f>Implements712[[#This Row],[PriceL]]*(VLOOKUP(Implements712[[#This Row],[ASABEtype]],$BC$6:$BM$52,2)*(Implements712[[#This Row],[Life (yr)]]*Implements712[[#This Row],[Use (hr/yr)]]/1000)^VLOOKUP(Implements712[[#This Row],[ASABEtype]],$BC$6:$BM$52,3))/Implements712[[#This Row],[Life (yr)]]/Implements712[[#This Row],[Use (hr/yr)]]</f>
        <v>12.204920021843495</v>
      </c>
      <c r="Y112" s="180">
        <f>Implements712[[#This Row],[Depr ($/hr)]]+Implements712[[#This Row],[OH ($/hr)]]</f>
        <v>13.720010019470656</v>
      </c>
      <c r="Z112" s="180">
        <f>(Implements712[[#This Row],[PriceP]]-Implements712[[#This Row],[TradeIn$]])/Implements712[[#This Row],[Life (yr)]]/Implements712[[#This Row],[Use (ac/yr)]]</f>
        <v>3.2578472216747363</v>
      </c>
      <c r="AA112" s="201">
        <f>((Implements712[[#This Row],[PriceP]]+Implements712[[#This Row],[TradeIn$]])/2*($BP$7+$BP$8+$BP$9)+Implements712[[#This Row],[Shed (ft^2)]]*$BP$12)/Implements712[[#This Row],[Use (ac/yr)]]</f>
        <v>3.4796576986010344</v>
      </c>
      <c r="AB112"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5.9934875107267178</v>
      </c>
      <c r="AC112" s="182">
        <f>IF(Implements712[[#This Row],[Use basis]]="hour","-",$BP$18/(Implements712[[#This Row],[Width]]*Implements712[[#This Row],[Speed]]*Implements712[[#This Row],[Efficiency]]))</f>
        <v>0.49107142857142866</v>
      </c>
      <c r="AD112" s="163">
        <f>IF(Implements712[[#This Row],[Use basis]]=$N$128,Implements712[[#This Row],[Ownership costs ($/hr)]],SUM(Implements712[[#This Row],[Depr ($/ac)2]:[OH ($/ac)]]))</f>
        <v>6.7375049202757706</v>
      </c>
      <c r="AE112" s="163"/>
      <c r="AF112" s="163" t="s">
        <v>643</v>
      </c>
      <c r="AG112" s="163"/>
    </row>
    <row r="113" spans="2:33">
      <c r="B113" s="144" t="str">
        <f>Implements712[[#This Row],[Implement type]]&amp;", "&amp;Implements712[[#This Row],[Width]]&amp;" "&amp;Implements712[[#This Row],[Width Unit]]</f>
        <v>Vegetable transplanter, 18 Ft Folding</v>
      </c>
      <c r="C113" s="170" t="s">
        <v>624</v>
      </c>
      <c r="D113" s="171">
        <v>18</v>
      </c>
      <c r="E113" s="170" t="s">
        <v>421</v>
      </c>
      <c r="F113" s="171"/>
      <c r="G113" s="170" t="s">
        <v>212</v>
      </c>
      <c r="H113" s="172">
        <v>40000</v>
      </c>
      <c r="I113" s="173">
        <v>0.2</v>
      </c>
      <c r="J113" s="174">
        <f t="shared" si="8"/>
        <v>50000</v>
      </c>
      <c r="K113" s="198">
        <f>VLOOKUP(Implements712[[#This Row],[ASABEtype]],ASABECoefficients813[],4,FALSE)/Implements712[[#This Row],[Use (hr/yr)]]</f>
        <v>8</v>
      </c>
      <c r="L113" s="199">
        <v>250</v>
      </c>
      <c r="M113" s="176">
        <f>IF(Implements712[[#This Row],[Use basis]]="hour",,L113*(D113*P113*Q113)/8.25)</f>
        <v>763.63636363636363</v>
      </c>
      <c r="N113" s="200" t="s">
        <v>654</v>
      </c>
      <c r="O113" s="171" t="s">
        <v>473</v>
      </c>
      <c r="P113" s="171">
        <v>2</v>
      </c>
      <c r="Q113" s="173">
        <v>0.7</v>
      </c>
      <c r="R113" s="173">
        <v>1.1499999999999999</v>
      </c>
      <c r="S113" s="171">
        <v>350</v>
      </c>
      <c r="T113"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0.37541365663700899</v>
      </c>
      <c r="U113" s="179">
        <f>Implements712[[#This Row],[TradeIn%]]*Implements712[[#This Row],[PriceL]]</f>
        <v>18770.682831850449</v>
      </c>
      <c r="V113" s="180">
        <f>(Implements712[[#This Row],[PriceP]]-Implements712[[#This Row],[TradeIn$]])/Implements712[[#This Row],[Life (yr)]]/Implements712[[#This Row],[Use (hr/yr)]]</f>
        <v>10.614658584074776</v>
      </c>
      <c r="W113" s="201">
        <f>((Implements712[[#This Row],[PriceP]]+Implements712[[#This Row],[TradeIn$]])/2*($BP$7+$BP$8+$BP$9)+Implements712[[#This Row],[Shed (ft^2)]]*$BP$12)/Implements712[[#This Row],[Use (hr/yr)]]</f>
        <v>11.228557447078275</v>
      </c>
      <c r="X113" s="180">
        <f>Implements712[[#This Row],[PriceL]]*(VLOOKUP(Implements712[[#This Row],[ASABEtype]],$BC$6:$BM$52,2)*(Implements712[[#This Row],[Life (yr)]]*Implements712[[#This Row],[Use (hr/yr)]]/1000)^VLOOKUP(Implements712[[#This Row],[ASABEtype]],$BC$6:$BM$52,3))/Implements712[[#This Row],[Life (yr)]]/Implements712[[#This Row],[Use (hr/yr)]]</f>
        <v>19.527872034949596</v>
      </c>
      <c r="Y113" s="180">
        <f>Implements712[[#This Row],[Depr ($/hr)]]+Implements712[[#This Row],[OH ($/hr)]]</f>
        <v>21.843216031153052</v>
      </c>
      <c r="Z113" s="180">
        <f>(Implements712[[#This Row],[PriceP]]-Implements712[[#This Row],[TradeIn$]])/Implements712[[#This Row],[Life (yr)]]/Implements712[[#This Row],[Use (ac/yr)]]</f>
        <v>3.4750370364530516</v>
      </c>
      <c r="AA113" s="201">
        <f>((Implements712[[#This Row],[PriceP]]+Implements712[[#This Row],[TradeIn$]])/2*($BP$7+$BP$8+$BP$9)+Implements712[[#This Row],[Shed (ft^2)]]*$BP$12)/Implements712[[#This Row],[Use (ac/yr)]]</f>
        <v>3.6760158308887214</v>
      </c>
      <c r="AB113"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6.3930533447751658</v>
      </c>
      <c r="AC113" s="182">
        <f>IF(Implements712[[#This Row],[Use basis]]="hour","-",$BP$18/(Implements712[[#This Row],[Width]]*Implements712[[#This Row],[Speed]]*Implements712[[#This Row],[Efficiency]]))</f>
        <v>0.32738095238095238</v>
      </c>
      <c r="AD113" s="163">
        <f>IF(Implements712[[#This Row],[Use basis]]=$N$128,Implements712[[#This Row],[Ownership costs ($/hr)]],SUM(Implements712[[#This Row],[Depr ($/ac)2]:[OH ($/ac)]]))</f>
        <v>7.1510528673417735</v>
      </c>
      <c r="AE113" s="163"/>
      <c r="AF113" s="163" t="s">
        <v>643</v>
      </c>
      <c r="AG113" s="163"/>
    </row>
    <row r="114" spans="2:33">
      <c r="B114" s="144" t="str">
        <f>Implements712[[#This Row],[Implement type]]&amp;", "&amp;Implements712[[#This Row],[Width]]&amp;" "&amp;Implements712[[#This Row],[Width Unit]]&amp; ", per "&amp;Implements712[[#This Row],[Use basis]]</f>
        <v>Boom sprayer - pull-type, 90 Ft Folding, per acre</v>
      </c>
      <c r="C114" s="170" t="s">
        <v>468</v>
      </c>
      <c r="D114" s="171">
        <v>90</v>
      </c>
      <c r="E114" s="238" t="str">
        <f>IF(D114&gt;15,"Ft Folding","Ft")</f>
        <v>Ft Folding</v>
      </c>
      <c r="F114" s="171"/>
      <c r="G114" s="171"/>
      <c r="H114" s="227">
        <v>72000</v>
      </c>
      <c r="I114" s="228">
        <v>0.1</v>
      </c>
      <c r="J114" s="174">
        <f t="shared" si="8"/>
        <v>80000</v>
      </c>
      <c r="K114" s="198">
        <f>VLOOKUP(Implements712[[#This Row],[ASABEtype]],ASABECoefficients813[],4,FALSE)/Implements712[[#This Row],[Use (hr/yr)]]</f>
        <v>15</v>
      </c>
      <c r="L114" s="171">
        <v>100</v>
      </c>
      <c r="M114" s="176">
        <f>IF(Implements712[[#This Row],[Use basis]]="hour",,L114*(D114*P114*Q114)/8.25)</f>
        <v>6545.454545454545</v>
      </c>
      <c r="N114" s="177" t="s">
        <v>654</v>
      </c>
      <c r="O114" s="171" t="s">
        <v>469</v>
      </c>
      <c r="P114" s="171">
        <v>8</v>
      </c>
      <c r="Q114" s="228">
        <v>0.75</v>
      </c>
      <c r="R114" s="228">
        <v>1.1499999999999999</v>
      </c>
      <c r="S114" s="171">
        <v>250</v>
      </c>
      <c r="T114"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0.4656071203012615</v>
      </c>
      <c r="U114" s="179">
        <f>Implements712[[#This Row],[TradeIn%]]*Implements712[[#This Row],[PriceL]]</f>
        <v>37248.569624100921</v>
      </c>
      <c r="V114" s="180">
        <f>(Implements712[[#This Row],[PriceP]]-Implements712[[#This Row],[TradeIn$]])/Implements712[[#This Row],[Life (yr)]]/Implements712[[#This Row],[Use (hr/yr)]]</f>
        <v>23.167620250599384</v>
      </c>
      <c r="W114" s="180">
        <f>((Implements712[[#This Row],[PriceP]]+Implements712[[#This Row],[TradeIn$]])/2*($BP$7+$BP$8+$BP$9)+Implements712[[#This Row],[Shed (ft^2)]]*$BP$12)/Implements712[[#This Row],[Use (hr/yr)]]</f>
        <v>48.976884938363391</v>
      </c>
      <c r="X114" s="180">
        <f>Implements712[[#This Row],[PriceL]]*(VLOOKUP(Implements712[[#This Row],[ASABEtype]],$BC$6:$BM$52,2)*(Implements712[[#This Row],[Life (yr)]]*Implements712[[#This Row],[Use (hr/yr)]]/1000)^VLOOKUP(Implements712[[#This Row],[ASABEtype]],$BC$6:$BM$52,3))/Implements712[[#This Row],[Life (yr)]]/Implements712[[#This Row],[Use (hr/yr)]]</f>
        <v>37.042579482984863</v>
      </c>
      <c r="Y114" s="180">
        <f>Implements712[[#This Row],[Depr ($/hr)]]+Implements712[[#This Row],[OH ($/hr)]]</f>
        <v>72.144505188962768</v>
      </c>
      <c r="Z114" s="180">
        <f>(Implements712[[#This Row],[PriceP]]-Implements712[[#This Row],[TradeIn$]])/Implements712[[#This Row],[Life (yr)]]/Implements712[[#This Row],[Use (ac/yr)]]</f>
        <v>0.35394975382860172</v>
      </c>
      <c r="AA114" s="180">
        <f>((Implements712[[#This Row],[PriceP]]+Implements712[[#This Row],[TradeIn$]])/2*($BP$7+$BP$8+$BP$9)+Implements712[[#This Row],[Shed (ft^2)]]*$BP$12)/Implements712[[#This Row],[Use (ac/yr)]]</f>
        <v>0.74825796433610736</v>
      </c>
      <c r="AB114"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0.56592829765671315</v>
      </c>
      <c r="AC114" s="182">
        <f>IF(Implements712[[#This Row],[Use basis]]="hour","-",$BP$18/(Implements712[[#This Row],[Width]]*Implements712[[#This Row],[Speed]]*Implements712[[#This Row],[Efficiency]]))</f>
        <v>1.5277777777777777E-2</v>
      </c>
      <c r="AD114" s="163">
        <f>IF(Implements712[[#This Row],[Use basis]]=$N$128,Implements712[[#This Row],[Ownership costs ($/hr)]],SUM(Implements712[[#This Row],[Depr ($/ac)2]:[OH ($/ac)]]))</f>
        <v>1.102207718164709</v>
      </c>
      <c r="AE114" s="240">
        <v>26</v>
      </c>
      <c r="AF114" s="144" t="s">
        <v>470</v>
      </c>
      <c r="AG114" s="163"/>
    </row>
    <row r="115" spans="2:33">
      <c r="B115" s="144" t="str">
        <f>Implements712[[#This Row],[Implement type]]&amp;", "&amp;Implements712[[#This Row],[Width]]&amp;" "&amp;Implements712[[#This Row],[Width Unit]]&amp; ", per "&amp;Implements712[[#This Row],[Use basis]]</f>
        <v>Boom sprayer - self-propelled, 120 Ft Folding, per acre</v>
      </c>
      <c r="C115" s="238" t="s">
        <v>471</v>
      </c>
      <c r="D115" s="171">
        <v>120</v>
      </c>
      <c r="E115" s="238" t="str">
        <f>IF(D115&gt;15,"Ft Folding","Ft")</f>
        <v>Ft Folding</v>
      </c>
      <c r="F115" s="171"/>
      <c r="G115" s="171"/>
      <c r="H115" s="227">
        <v>475000</v>
      </c>
      <c r="I115" s="228">
        <v>0.1</v>
      </c>
      <c r="J115" s="174">
        <f t="shared" si="8"/>
        <v>527777.77777777775</v>
      </c>
      <c r="K115" s="198">
        <f>VLOOKUP(Implements712[[#This Row],[ASABEtype]],ASABECoefficients813[],4,FALSE)/Implements712[[#This Row],[Use (hr/yr)]]</f>
        <v>5</v>
      </c>
      <c r="L115" s="171">
        <v>300</v>
      </c>
      <c r="M115" s="176">
        <f>IF(Implements712[[#This Row],[Use basis]]="hour",,L115*(D115*P115*Q115)/8.25)</f>
        <v>32727.272727272728</v>
      </c>
      <c r="N115" s="177" t="s">
        <v>654</v>
      </c>
      <c r="O115" s="171" t="s">
        <v>469</v>
      </c>
      <c r="P115" s="171">
        <v>10</v>
      </c>
      <c r="Q115" s="228">
        <v>0.75</v>
      </c>
      <c r="R115" s="228">
        <v>1.1499999999999999</v>
      </c>
      <c r="S115" s="171">
        <v>360</v>
      </c>
      <c r="T115"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0.76451011236780952</v>
      </c>
      <c r="U115" s="179">
        <f>Implements712[[#This Row],[TradeIn%]]*Implements712[[#This Row],[PriceL]]</f>
        <v>403491.44819412165</v>
      </c>
      <c r="V115" s="180">
        <f>(Implements712[[#This Row],[PriceP]]-Implements712[[#This Row],[TradeIn$]])/Implements712[[#This Row],[Life (yr)]]/Implements712[[#This Row],[Use (hr/yr)]]</f>
        <v>47.672367870585568</v>
      </c>
      <c r="W115" s="180">
        <f>((Implements712[[#This Row],[PriceP]]+Implements712[[#This Row],[TradeIn$]])/2*($BP$7+$BP$8+$BP$9)+Implements712[[#This Row],[Shed (ft^2)]]*$BP$12)/Implements712[[#This Row],[Use (hr/yr)]]</f>
        <v>126.87710757449078</v>
      </c>
      <c r="X115" s="180">
        <f>Implements712[[#This Row],[PriceL]]*(VLOOKUP(Implements712[[#This Row],[ASABEtype]],$BC$6:$BM$52,2)*(Implements712[[#This Row],[Life (yr)]]*Implements712[[#This Row],[Use (hr/yr)]]/1000)^VLOOKUP(Implements712[[#This Row],[ASABEtype]],$BC$6:$BM$52,3))/Implements712[[#This Row],[Life (yr)]]/Implements712[[#This Row],[Use (hr/yr)]]</f>
        <v>244.37812853358065</v>
      </c>
      <c r="Y115" s="180">
        <f>Implements712[[#This Row],[Depr ($/hr)]]+Implements712[[#This Row],[OH ($/hr)]]</f>
        <v>174.54947544507635</v>
      </c>
      <c r="Z115" s="180">
        <f>(Implements712[[#This Row],[PriceP]]-Implements712[[#This Row],[TradeIn$]])/Implements712[[#This Row],[Life (yr)]]/Implements712[[#This Row],[Use (ac/yr)]]</f>
        <v>0.43699670548036768</v>
      </c>
      <c r="AA115" s="180">
        <f>((Implements712[[#This Row],[PriceP]]+Implements712[[#This Row],[TradeIn$]])/2*($BP$7+$BP$8+$BP$9)+Implements712[[#This Row],[Shed (ft^2)]]*$BP$12)/Implements712[[#This Row],[Use (ac/yr)]]</f>
        <v>1.1630401527661653</v>
      </c>
      <c r="AB115"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2.2401328448911557</v>
      </c>
      <c r="AC115" s="182">
        <f>IF(Implements712[[#This Row],[Use basis]]="hour","-",$BP$18/(Implements712[[#This Row],[Width]]*Implements712[[#This Row],[Speed]]*Implements712[[#This Row],[Efficiency]]))</f>
        <v>9.1666666666666667E-3</v>
      </c>
      <c r="AD115" s="163">
        <f>IF(Implements712[[#This Row],[Use basis]]=$N$128,Implements712[[#This Row],[Ownership costs ($/hr)]],SUM(Implements712[[#This Row],[Depr ($/ac)2]:[OH ($/ac)]]))</f>
        <v>1.600036858246533</v>
      </c>
      <c r="AE115" s="240">
        <v>25</v>
      </c>
      <c r="AF115" s="144" t="s">
        <v>470</v>
      </c>
      <c r="AG115" s="163"/>
    </row>
    <row r="116" spans="2:33">
      <c r="B116" s="144" t="str">
        <f>Implements712[[#This Row],[Implement type]]&amp;", "&amp;Implements712[[#This Row],[Width]]&amp;" "&amp;Implements712[[#This Row],[Width Unit]]&amp; ", per "&amp;Implements712[[#This Row],[Use basis]]</f>
        <v>Row cultivator, 30 Ft Folding, per acre</v>
      </c>
      <c r="C116" s="238" t="s">
        <v>472</v>
      </c>
      <c r="D116" s="171">
        <v>30</v>
      </c>
      <c r="E116" s="238" t="str">
        <f>IF(D116&gt;15,"Ft Folding","Ft")</f>
        <v>Ft Folding</v>
      </c>
      <c r="F116" s="171">
        <v>12</v>
      </c>
      <c r="G116" s="171" t="s">
        <v>416</v>
      </c>
      <c r="H116" s="227">
        <v>48000</v>
      </c>
      <c r="I116" s="228">
        <v>0.1</v>
      </c>
      <c r="J116" s="174">
        <f t="shared" si="8"/>
        <v>53333.333333333328</v>
      </c>
      <c r="K116" s="198">
        <f>VLOOKUP(Implements712[[#This Row],[ASABEtype]],ASABECoefficients813[],4,FALSE)/Implements712[[#This Row],[Use (hr/yr)]]</f>
        <v>20</v>
      </c>
      <c r="L116" s="171">
        <v>100</v>
      </c>
      <c r="M116" s="176">
        <f>IF(Implements712[[#This Row],[Use basis]]="hour",,L116*(D116*P116*Q116)/8.25)</f>
        <v>1454.5454545454545</v>
      </c>
      <c r="N116" s="177" t="s">
        <v>654</v>
      </c>
      <c r="O116" s="171" t="s">
        <v>473</v>
      </c>
      <c r="P116" s="171">
        <v>5</v>
      </c>
      <c r="Q116" s="228">
        <v>0.8</v>
      </c>
      <c r="R116" s="228">
        <v>1.05</v>
      </c>
      <c r="S116" s="171">
        <v>140</v>
      </c>
      <c r="T116"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0.24787241594786602</v>
      </c>
      <c r="U116" s="179">
        <f>Implements712[[#This Row],[TradeIn%]]*Implements712[[#This Row],[PriceL]]</f>
        <v>13219.862183886187</v>
      </c>
      <c r="V116" s="180">
        <f>(Implements712[[#This Row],[PriceP]]-Implements712[[#This Row],[TradeIn$]])/Implements712[[#This Row],[Life (yr)]]/Implements712[[#This Row],[Use (hr/yr)]]</f>
        <v>17.390068908056904</v>
      </c>
      <c r="W116" s="180">
        <f>((Implements712[[#This Row],[PriceP]]+Implements712[[#This Row],[TradeIn$]])/2*($BP$7+$BP$8+$BP$9)+Implements712[[#This Row],[Shed (ft^2)]]*$BP$12)/Implements712[[#This Row],[Use (hr/yr)]]</f>
        <v>27.444540739071059</v>
      </c>
      <c r="X116" s="180">
        <f>Implements712[[#This Row],[PriceL]]*(VLOOKUP(Implements712[[#This Row],[ASABEtype]],$BC$6:$BM$52,2)*(Implements712[[#This Row],[Life (yr)]]*Implements712[[#This Row],[Use (hr/yr)]]/1000)^VLOOKUP(Implements712[[#This Row],[ASABEtype]],$BC$6:$BM$52,3))/Implements712[[#This Row],[Life (yr)]]/Implements712[[#This Row],[Use (hr/yr)]]</f>
        <v>20.829730170612901</v>
      </c>
      <c r="Y116" s="180">
        <f>Implements712[[#This Row],[Depr ($/hr)]]+Implements712[[#This Row],[OH ($/hr)]]</f>
        <v>44.834609647127962</v>
      </c>
      <c r="Z116" s="180">
        <f>(Implements712[[#This Row],[PriceP]]-Implements712[[#This Row],[TradeIn$]])/Implements712[[#This Row],[Life (yr)]]/Implements712[[#This Row],[Use (ac/yr)]]</f>
        <v>1.1955672374289124</v>
      </c>
      <c r="AA116" s="180">
        <f>((Implements712[[#This Row],[PriceP]]+Implements712[[#This Row],[TradeIn$]])/2*($BP$7+$BP$8+$BP$9)+Implements712[[#This Row],[Shed (ft^2)]]*$BP$12)/Implements712[[#This Row],[Use (ac/yr)]]</f>
        <v>1.8868121758111354</v>
      </c>
      <c r="AB116"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1.4320439492296371</v>
      </c>
      <c r="AC116" s="182">
        <f>IF(Implements712[[#This Row],[Use basis]]="hour","-",$BP$18/(Implements712[[#This Row],[Width]]*Implements712[[#This Row],[Speed]]*Implements712[[#This Row],[Efficiency]]))</f>
        <v>6.8750000000000006E-2</v>
      </c>
      <c r="AD116" s="163">
        <f>IF(Implements712[[#This Row],[Use basis]]=$N$128,Implements712[[#This Row],[Ownership costs ($/hr)]],SUM(Implements712[[#This Row],[Depr ($/ac)2]:[OH ($/ac)]]))</f>
        <v>3.0823794132400479</v>
      </c>
      <c r="AE116" s="240">
        <v>24</v>
      </c>
      <c r="AF116" s="144" t="s">
        <v>470</v>
      </c>
      <c r="AG116" s="163"/>
    </row>
    <row r="117" spans="2:33">
      <c r="B117" s="144" t="str">
        <f>Implements712[[#This Row],[Implement type]]&amp;", "&amp;Implements712[[#This Row],[Width]]&amp;" "&amp;Implements712[[#This Row],[Width Unit]]</f>
        <v>Air blast sprayer, 20 Ft</v>
      </c>
      <c r="C117" s="170" t="s">
        <v>834</v>
      </c>
      <c r="D117" s="171">
        <v>20</v>
      </c>
      <c r="E117" s="170" t="s">
        <v>402</v>
      </c>
      <c r="F117" s="171"/>
      <c r="G117" s="171" t="s">
        <v>835</v>
      </c>
      <c r="H117" s="172">
        <v>8000</v>
      </c>
      <c r="I117" s="173">
        <v>0.1</v>
      </c>
      <c r="J117" s="174">
        <f t="shared" si="8"/>
        <v>8888.8888888888887</v>
      </c>
      <c r="K117" s="198">
        <f>VLOOKUP(Implements712[[#This Row],[ASABEtype]],ASABECoefficients813[],4,FALSE)/Implements712[[#This Row],[Use (hr/yr)]]</f>
        <v>40</v>
      </c>
      <c r="L117" s="171">
        <v>50</v>
      </c>
      <c r="M117" s="176">
        <f>IF(Implements712[[#This Row],[Use basis]]="hour",,L117*(D117*P117*Q117)/8.25)</f>
        <v>127.27272727272727</v>
      </c>
      <c r="N117" s="177" t="s">
        <v>654</v>
      </c>
      <c r="O117" s="171" t="s">
        <v>517</v>
      </c>
      <c r="P117" s="171">
        <v>1.5</v>
      </c>
      <c r="Q117" s="173">
        <v>0.7</v>
      </c>
      <c r="R117" s="173">
        <v>1.25</v>
      </c>
      <c r="S117" s="171">
        <v>100</v>
      </c>
      <c r="T117"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0.1568013014863176</v>
      </c>
      <c r="U117" s="179">
        <f>Implements712[[#This Row],[TradeIn%]]*Implements712[[#This Row],[PriceL]]</f>
        <v>1393.7893465450454</v>
      </c>
      <c r="V117" s="180">
        <f>(Implements712[[#This Row],[PriceP]]-Implements712[[#This Row],[TradeIn$]])/Implements712[[#This Row],[Life (yr)]]/Implements712[[#This Row],[Use (hr/yr)]]</f>
        <v>3.3031053267274775</v>
      </c>
      <c r="W117" s="201">
        <f>((Implements712[[#This Row],[PriceP]]+Implements712[[#This Row],[TradeIn$]])/2*($BP$7+$BP$8+$BP$9)+Implements712[[#This Row],[Shed (ft^2)]]*$BP$12)/Implements712[[#This Row],[Use (hr/yr)]]</f>
        <v>9.6786588380287384</v>
      </c>
      <c r="X117" s="180">
        <f>Implements712[[#This Row],[PriceL]]*(VLOOKUP(Implements712[[#This Row],[ASABEtype]],$BC$6:$BM$52,2)*(Implements712[[#This Row],[Life (yr)]]*Implements712[[#This Row],[Use (hr/yr)]]/1000)^VLOOKUP(Implements712[[#This Row],[ASABEtype]],$BC$6:$BM$52,3))/Implements712[[#This Row],[Life (yr)]]/Implements712[[#This Row],[Use (hr/yr)]]</f>
        <v>2.6946072293518188</v>
      </c>
      <c r="Y117" s="180">
        <f>Implements712[[#This Row],[Depr ($/hr)]]+Implements712[[#This Row],[OH ($/hr)]]</f>
        <v>12.981764164756216</v>
      </c>
      <c r="Z117" s="180">
        <f>(Implements712[[#This Row],[PriceP]]-Implements712[[#This Row],[TradeIn$]])/Implements712[[#This Row],[Life (yr)]]/Implements712[[#This Row],[Use (ac/yr)]]</f>
        <v>1.2976485212143662</v>
      </c>
      <c r="AA117" s="201">
        <f>((Implements712[[#This Row],[PriceP]]+Implements712[[#This Row],[TradeIn$]])/2*($BP$7+$BP$8+$BP$9)+Implements712[[#This Row],[Shed (ft^2)]]*$BP$12)/Implements712[[#This Row],[Use (ac/yr)]]</f>
        <v>3.8023302577970042</v>
      </c>
      <c r="AB117"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1.0585956972453574</v>
      </c>
      <c r="AC117" s="182">
        <f>IF(Implements712[[#This Row],[Use basis]]="hour","-",$BP$18/(Implements712[[#This Row],[Width]]*Implements712[[#This Row],[Speed]]*Implements712[[#This Row],[Efficiency]]))</f>
        <v>0.39285714285714285</v>
      </c>
      <c r="AD117" s="163">
        <f>IF(Implements712[[#This Row],[Use basis]]=$N$128,Implements712[[#This Row],[Ownership costs ($/hr)]],SUM(Implements712[[#This Row],[Depr ($/ac)2]:[OH ($/ac)]]))</f>
        <v>5.0999787790113702</v>
      </c>
      <c r="AE117" s="163"/>
      <c r="AF117" s="163" t="s">
        <v>470</v>
      </c>
      <c r="AG117" s="163"/>
    </row>
    <row r="118" spans="2:33">
      <c r="B118" s="144" t="str">
        <f>Implements712[[#This Row],[Implement type]]&amp;", "&amp;Implements712[[#This Row],[Width]]&amp;" "&amp;Implements712[[#This Row],[Width Unit]]</f>
        <v xml:space="preserve">Boomless sprayer, 15 Ft. </v>
      </c>
      <c r="C118" s="170" t="s">
        <v>836</v>
      </c>
      <c r="D118" s="171">
        <v>15</v>
      </c>
      <c r="E118" s="170" t="s">
        <v>837</v>
      </c>
      <c r="F118" s="171"/>
      <c r="G118" s="170" t="s">
        <v>838</v>
      </c>
      <c r="H118" s="172">
        <v>2700</v>
      </c>
      <c r="I118" s="173">
        <v>0.1</v>
      </c>
      <c r="J118" s="174">
        <f t="shared" si="8"/>
        <v>3000</v>
      </c>
      <c r="K118" s="198">
        <f>VLOOKUP(Implements712[[#This Row],[ASABEtype]],ASABECoefficients813[],4,FALSE)/Implements712[[#This Row],[Use (hr/yr)]]</f>
        <v>75</v>
      </c>
      <c r="L118" s="171">
        <v>20</v>
      </c>
      <c r="M118" s="176">
        <f>IF(Implements712[[#This Row],[Use basis]]="hour",,L118*(D118*P118*Q118)/8.25)</f>
        <v>76.363636363636346</v>
      </c>
      <c r="N118" s="177" t="s">
        <v>654</v>
      </c>
      <c r="O118" s="171" t="s">
        <v>469</v>
      </c>
      <c r="P118" s="171">
        <v>3</v>
      </c>
      <c r="Q118" s="173">
        <v>0.7</v>
      </c>
      <c r="R118" s="173">
        <v>1.25</v>
      </c>
      <c r="S118" s="171">
        <v>40</v>
      </c>
      <c r="T118" s="178">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1.7493405265665674E-2</v>
      </c>
      <c r="U118" s="179">
        <f>Implements712[[#This Row],[TradeIn%]]*Implements712[[#This Row],[PriceL]]</f>
        <v>52.480215796997022</v>
      </c>
      <c r="V118" s="180">
        <f>(Implements712[[#This Row],[PriceP]]-Implements712[[#This Row],[TradeIn$]])/Implements712[[#This Row],[Life (yr)]]/Implements712[[#This Row],[Use (hr/yr)]]</f>
        <v>1.7650131894686687</v>
      </c>
      <c r="W118" s="201">
        <f>((Implements712[[#This Row],[PriceP]]+Implements712[[#This Row],[TradeIn$]])/2*($BP$7+$BP$8+$BP$9)+Implements712[[#This Row],[Shed (ft^2)]]*$BP$12)/Implements712[[#This Row],[Use (hr/yr)]]</f>
        <v>7.5178324639635434</v>
      </c>
      <c r="X118" s="180">
        <f>Implements712[[#This Row],[PriceL]]*(VLOOKUP(Implements712[[#This Row],[ASABEtype]],$BC$6:$BM$52,2)*(Implements712[[#This Row],[Life (yr)]]*Implements712[[#This Row],[Use (hr/yr)]]/1000)^VLOOKUP(Implements712[[#This Row],[ASABEtype]],$BC$6:$BM$52,3))/Implements712[[#This Row],[Life (yr)]]/Implements712[[#This Row],[Use (hr/yr)]]</f>
        <v>1.3890967306119322</v>
      </c>
      <c r="Y118" s="180">
        <f>Implements712[[#This Row],[Depr ($/hr)]]+Implements712[[#This Row],[OH ($/hr)]]</f>
        <v>9.2828456534322115</v>
      </c>
      <c r="Z118" s="180">
        <f>(Implements712[[#This Row],[PriceP]]-Implements712[[#This Row],[TradeIn$]])/Implements712[[#This Row],[Life (yr)]]/Implements712[[#This Row],[Use (ac/yr)]]</f>
        <v>0.4622653591465562</v>
      </c>
      <c r="AA118" s="201">
        <f>((Implements712[[#This Row],[PriceP]]+Implements712[[#This Row],[TradeIn$]])/2*($BP$7+$BP$8+$BP$9)+Implements712[[#This Row],[Shed (ft^2)]]*$BP$12)/Implements712[[#This Row],[Use (ac/yr)]]</f>
        <v>1.9689561215142619</v>
      </c>
      <c r="AB118" s="181">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0.36381104849360135</v>
      </c>
      <c r="AC118" s="182">
        <f>IF(Implements712[[#This Row],[Use basis]]="hour","-",$BP$18/(Implements712[[#This Row],[Width]]*Implements712[[#This Row],[Speed]]*Implements712[[#This Row],[Efficiency]]))</f>
        <v>0.26190476190476192</v>
      </c>
      <c r="AD118" s="163">
        <f>IF(Implements712[[#This Row],[Use basis]]=$N$128,Implements712[[#This Row],[Ownership costs ($/hr)]],SUM(Implements712[[#This Row],[Depr ($/ac)2]:[OH ($/ac)]]))</f>
        <v>2.4312214806608181</v>
      </c>
      <c r="AE118" s="163"/>
      <c r="AF118" s="163" t="s">
        <v>470</v>
      </c>
      <c r="AG118" s="163"/>
    </row>
    <row r="119" spans="2:33">
      <c r="B119" s="144" t="str">
        <f>Implements712[[#This Row],[Implement type]]&amp;", "&amp;Implements712[[#This Row],[Width]]&amp;" "&amp;Implements712[[#This Row],[Width Unit]]</f>
        <v xml:space="preserve">,  </v>
      </c>
      <c r="C119" s="170"/>
      <c r="D119" s="171"/>
      <c r="E119" s="170"/>
      <c r="F119" s="171"/>
      <c r="G119" s="170"/>
      <c r="H119" s="172"/>
      <c r="I119" s="173"/>
      <c r="J119" s="174">
        <f t="shared" si="8"/>
        <v>0</v>
      </c>
      <c r="K119" s="198" t="e">
        <f>VLOOKUP(Implements712[[#This Row],[ASABEtype]],ASABECoefficients813[],4,FALSE)/Implements712[[#This Row],[Use (hr/yr)]]</f>
        <v>#N/A</v>
      </c>
      <c r="L119" s="171"/>
      <c r="M119" s="176">
        <f>IF(Implements712[[#This Row],[Use basis]]="hour",,L119*(D119*P119*Q119)/8.25)</f>
        <v>0</v>
      </c>
      <c r="N119" s="177"/>
      <c r="O119" s="171"/>
      <c r="P119" s="171"/>
      <c r="Q119" s="173"/>
      <c r="R119" s="173"/>
      <c r="S119" s="171"/>
      <c r="T119" s="178" t="e">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#N/A</v>
      </c>
      <c r="U119" s="179" t="e">
        <f>Implements712[[#This Row],[TradeIn%]]*Implements712[[#This Row],[PriceL]]</f>
        <v>#N/A</v>
      </c>
      <c r="V119" s="180" t="e">
        <f>(Implements712[[#This Row],[PriceP]]-Implements712[[#This Row],[TradeIn$]])/Implements712[[#This Row],[Life (yr)]]/Implements712[[#This Row],[Use (hr/yr)]]</f>
        <v>#N/A</v>
      </c>
      <c r="W119" s="201" t="e">
        <f>((Implements712[[#This Row],[PriceP]]+Implements712[[#This Row],[TradeIn$]])/2*($BP$7+$BP$8+$BP$9)+Implements712[[#This Row],[Shed (ft^2)]]*$BP$12)/Implements712[[#This Row],[Use (hr/yr)]]</f>
        <v>#N/A</v>
      </c>
      <c r="X119" s="180" t="e">
        <f>Implements712[[#This Row],[PriceL]]*(VLOOKUP(Implements712[[#This Row],[ASABEtype]],$BC$6:$BM$52,2)*(Implements712[[#This Row],[Life (yr)]]*Implements712[[#This Row],[Use (hr/yr)]]/1000)^VLOOKUP(Implements712[[#This Row],[ASABEtype]],$BC$6:$BM$52,3))/Implements712[[#This Row],[Life (yr)]]/Implements712[[#This Row],[Use (hr/yr)]]</f>
        <v>#N/A</v>
      </c>
      <c r="Y119" s="180" t="e">
        <f>Implements712[[#This Row],[Depr ($/hr)]]+Implements712[[#This Row],[OH ($/hr)]]</f>
        <v>#N/A</v>
      </c>
      <c r="Z119" s="180" t="e">
        <f>(Implements712[[#This Row],[PriceP]]-Implements712[[#This Row],[TradeIn$]])/Implements712[[#This Row],[Life (yr)]]/Implements712[[#This Row],[Use (ac/yr)]]</f>
        <v>#N/A</v>
      </c>
      <c r="AA119" s="201" t="e">
        <f>((Implements712[[#This Row],[PriceP]]+Implements712[[#This Row],[TradeIn$]])/2*($BP$7+$BP$8+$BP$9)+Implements712[[#This Row],[Shed (ft^2)]]*$BP$12)/Implements712[[#This Row],[Use (ac/yr)]]</f>
        <v>#N/A</v>
      </c>
      <c r="AB119" s="181" t="e">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#N/A</v>
      </c>
      <c r="AC119" s="182" t="e">
        <f>IF(Implements712[[#This Row],[Use basis]]="hour","-",$BP$18/(Implements712[[#This Row],[Width]]*Implements712[[#This Row],[Speed]]*Implements712[[#This Row],[Efficiency]]))</f>
        <v>#DIV/0!</v>
      </c>
      <c r="AD119" s="163" t="e">
        <f>IF(Implements712[[#This Row],[Use basis]]=$N$128,Implements712[[#This Row],[Ownership costs ($/hr)]],SUM(Implements712[[#This Row],[Depr ($/ac)2]:[OH ($/ac)]]))</f>
        <v>#N/A</v>
      </c>
      <c r="AE119" s="163"/>
      <c r="AF119" s="163"/>
    </row>
    <row r="120" spans="2:33">
      <c r="B120" s="144" t="str">
        <f>Implements712[[#This Row],[Implement type]]&amp;", "&amp;Implements712[[#This Row],[Width]]&amp;" "&amp;Implements712[[#This Row],[Width Unit]]</f>
        <v xml:space="preserve">,  </v>
      </c>
      <c r="C120" s="170"/>
      <c r="D120" s="171"/>
      <c r="E120" s="170"/>
      <c r="F120" s="171"/>
      <c r="G120" s="170"/>
      <c r="H120" s="172"/>
      <c r="I120" s="173"/>
      <c r="J120" s="174">
        <f t="shared" si="8"/>
        <v>0</v>
      </c>
      <c r="K120" s="198" t="e">
        <f>VLOOKUP(Implements712[[#This Row],[ASABEtype]],ASABECoefficients813[],4,FALSE)/Implements712[[#This Row],[Use (hr/yr)]]</f>
        <v>#N/A</v>
      </c>
      <c r="L120" s="171"/>
      <c r="M120" s="176">
        <f>IF(Implements712[[#This Row],[Use basis]]="hour",,L120*(D120*P120*Q120)/8.25)</f>
        <v>0</v>
      </c>
      <c r="N120" s="177"/>
      <c r="O120" s="171"/>
      <c r="P120" s="171"/>
      <c r="Q120" s="173"/>
      <c r="R120" s="173"/>
      <c r="S120" s="171"/>
      <c r="T120" s="178" t="e">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#N/A</v>
      </c>
      <c r="U120" s="179" t="e">
        <f>Implements712[[#This Row],[TradeIn%]]*Implements712[[#This Row],[PriceL]]</f>
        <v>#N/A</v>
      </c>
      <c r="V120" s="180" t="e">
        <f>(Implements712[[#This Row],[PriceP]]-Implements712[[#This Row],[TradeIn$]])/Implements712[[#This Row],[Life (yr)]]/Implements712[[#This Row],[Use (hr/yr)]]</f>
        <v>#N/A</v>
      </c>
      <c r="W120" s="201" t="e">
        <f>((Implements712[[#This Row],[PriceP]]+Implements712[[#This Row],[TradeIn$]])/2*($BP$7+$BP$8+$BP$9)+Implements712[[#This Row],[Shed (ft^2)]]*$BP$12)/Implements712[[#This Row],[Use (hr/yr)]]</f>
        <v>#N/A</v>
      </c>
      <c r="X120" s="180" t="e">
        <f>Implements712[[#This Row],[PriceL]]*(VLOOKUP(Implements712[[#This Row],[ASABEtype]],$BC$6:$BM$52,2)*(Implements712[[#This Row],[Life (yr)]]*Implements712[[#This Row],[Use (hr/yr)]]/1000)^VLOOKUP(Implements712[[#This Row],[ASABEtype]],$BC$6:$BM$52,3))/Implements712[[#This Row],[Life (yr)]]/Implements712[[#This Row],[Use (hr/yr)]]</f>
        <v>#N/A</v>
      </c>
      <c r="Y120" s="180" t="e">
        <f>Implements712[[#This Row],[Depr ($/hr)]]+Implements712[[#This Row],[OH ($/hr)]]</f>
        <v>#N/A</v>
      </c>
      <c r="Z120" s="180" t="e">
        <f>(Implements712[[#This Row],[PriceP]]-Implements712[[#This Row],[TradeIn$]])/Implements712[[#This Row],[Life (yr)]]/Implements712[[#This Row],[Use (ac/yr)]]</f>
        <v>#N/A</v>
      </c>
      <c r="AA120" s="201" t="e">
        <f>((Implements712[[#This Row],[PriceP]]+Implements712[[#This Row],[TradeIn$]])/2*($BP$7+$BP$8+$BP$9)+Implements712[[#This Row],[Shed (ft^2)]]*$BP$12)/Implements712[[#This Row],[Use (ac/yr)]]</f>
        <v>#N/A</v>
      </c>
      <c r="AB120" s="181" t="e">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#N/A</v>
      </c>
      <c r="AC120" s="182" t="e">
        <f>IF(Implements712[[#This Row],[Use basis]]="hour","-",$BP$18/(Implements712[[#This Row],[Width]]*Implements712[[#This Row],[Speed]]*Implements712[[#This Row],[Efficiency]]))</f>
        <v>#DIV/0!</v>
      </c>
      <c r="AD120" s="163" t="e">
        <f>IF(Implements712[[#This Row],[Use basis]]=$N$128,Implements712[[#This Row],[Ownership costs ($/hr)]],SUM(Implements712[[#This Row],[Depr ($/ac)2]:[OH ($/ac)]]))</f>
        <v>#N/A</v>
      </c>
      <c r="AE120" s="163"/>
      <c r="AF120" s="163"/>
    </row>
    <row r="121" spans="2:33">
      <c r="C121" s="170"/>
      <c r="D121" s="171"/>
      <c r="E121" s="170"/>
      <c r="F121" s="171"/>
      <c r="G121" s="170"/>
      <c r="H121" s="172"/>
      <c r="I121" s="173"/>
      <c r="J121" s="174">
        <f t="shared" si="8"/>
        <v>0</v>
      </c>
      <c r="K121" s="198" t="e">
        <f>VLOOKUP(Implements712[[#This Row],[ASABEtype]],ASABECoefficients813[],4,FALSE)/Implements712[[#This Row],[Use (hr/yr)]]</f>
        <v>#N/A</v>
      </c>
      <c r="L121" s="171"/>
      <c r="M121" s="176">
        <f>IF(Implements712[[#This Row],[Use basis]]="hour",,L121*(D121*P121*Q121)/8.25)</f>
        <v>0</v>
      </c>
      <c r="N121" s="177"/>
      <c r="O121" s="171"/>
      <c r="P121" s="171"/>
      <c r="Q121" s="173"/>
      <c r="R121" s="173"/>
      <c r="S121" s="171"/>
      <c r="T121" s="178" t="e">
        <f>(VLOOKUP(Implements712[[#This Row],[ASABEtype]],$BC$6:$BM$52,5)-VLOOKUP(Implements712[[#This Row],[ASABEtype]],$BC$6:$BM$52,6)*Implements712[[#This Row],[Life (yr)]]^0.5-VLOOKUP(Implements712[[#This Row],[ASABEtype]],$BC$6:$BM$52,7)*Implements712[[#This Row],[Use (hr/yr)]]^0.5+VLOOKUP(Implements712[[#This Row],[ASABEtype]],$BC$6:$BM$52,8)*$BP$17)^2+0.25*VLOOKUP(Implements712[[#This Row],[ASABEtype]],$BC$6:$BM$52,9)</f>
        <v>#N/A</v>
      </c>
      <c r="U121" s="179" t="e">
        <f>Implements712[[#This Row],[TradeIn%]]*Implements712[[#This Row],[PriceL]]</f>
        <v>#N/A</v>
      </c>
      <c r="V121" s="180" t="e">
        <f>(Implements712[[#This Row],[PriceP]]-Implements712[[#This Row],[TradeIn$]])/Implements712[[#This Row],[Life (yr)]]/Implements712[[#This Row],[Use (hr/yr)]]</f>
        <v>#N/A</v>
      </c>
      <c r="W121" s="201" t="e">
        <f>((Implements712[[#This Row],[PriceP]]+Implements712[[#This Row],[TradeIn$]])/2*($BP$7+$BP$8+$BP$9)+Implements712[[#This Row],[Shed (ft^2)]]*$BP$12)/Implements712[[#This Row],[Use (hr/yr)]]</f>
        <v>#N/A</v>
      </c>
      <c r="X121" s="180" t="e">
        <f>Implements712[[#This Row],[PriceL]]*(VLOOKUP(Implements712[[#This Row],[ASABEtype]],$BC$6:$BM$52,2)*(Implements712[[#This Row],[Life (yr)]]*Implements712[[#This Row],[Use (hr/yr)]]/1000)^VLOOKUP(Implements712[[#This Row],[ASABEtype]],$BC$6:$BM$52,3))/Implements712[[#This Row],[Life (yr)]]/Implements712[[#This Row],[Use (hr/yr)]]</f>
        <v>#N/A</v>
      </c>
      <c r="Y121" s="180" t="e">
        <f>Implements712[[#This Row],[Depr ($/hr)]]+Implements712[[#This Row],[OH ($/hr)]]</f>
        <v>#N/A</v>
      </c>
      <c r="Z121" s="180" t="e">
        <f>(Implements712[[#This Row],[PriceP]]-Implements712[[#This Row],[TradeIn$]])/Implements712[[#This Row],[Life (yr)]]/Implements712[[#This Row],[Use (ac/yr)]]</f>
        <v>#N/A</v>
      </c>
      <c r="AA121" s="201" t="e">
        <f>((Implements712[[#This Row],[PriceP]]+Implements712[[#This Row],[TradeIn$]])/2*($BP$7+$BP$8+$BP$9)+Implements712[[#This Row],[Shed (ft^2)]]*$BP$12)/Implements712[[#This Row],[Use (ac/yr)]]</f>
        <v>#N/A</v>
      </c>
      <c r="AB121" s="181" t="e">
        <f>IF(Implements712[[#This Row],[Use basis]]=$N$128,Implements712[[#This Row],[Rep ($/hr)]],Implements712[[#This Row],[PriceL]]*(VLOOKUP(Implements712[[#This Row],[ASABEtype]],$BC$6:$BM$52,2)*(Implements712[[#This Row],[Life (yr)]]*Implements712[[#This Row],[Use (hr/yr)]]/1000)^VLOOKUP(Implements712[[#This Row],[ASABEtype]],$BC$6:$BM$52,3))/Implements712[[#This Row],[Life (yr)]]/Implements712[[#This Row],[Use (ac/yr)]])</f>
        <v>#N/A</v>
      </c>
      <c r="AC121" s="182" t="e">
        <f>IF(Implements712[[#This Row],[Use basis]]="hour","-",$BP$18/(Implements712[[#This Row],[Width]]*Implements712[[#This Row],[Speed]]*Implements712[[#This Row],[Efficiency]]))</f>
        <v>#DIV/0!</v>
      </c>
      <c r="AD121" s="163" t="e">
        <f>IF(Implements712[[#This Row],[Use basis]]=$N$128,Implements712[[#This Row],[Ownership costs ($/hr)]],SUM(Implements712[[#This Row],[Depr ($/ac)2]:[OH ($/ac)]]))</f>
        <v>#N/A</v>
      </c>
      <c r="AE121" s="163"/>
      <c r="AF121" s="163"/>
    </row>
    <row r="122" spans="2:33">
      <c r="C122" s="170"/>
      <c r="D122" s="171"/>
      <c r="E122" s="170"/>
      <c r="F122" s="171"/>
      <c r="G122" s="170"/>
      <c r="H122" s="172"/>
      <c r="I122" s="173"/>
      <c r="J122" s="174"/>
      <c r="K122" s="175"/>
      <c r="L122" s="171"/>
      <c r="M122" s="176"/>
      <c r="N122" s="177"/>
      <c r="O122" s="171"/>
      <c r="P122" s="171"/>
      <c r="Q122" s="173"/>
      <c r="R122" s="173"/>
      <c r="S122" s="171"/>
      <c r="T122" s="178"/>
      <c r="U122" s="179"/>
      <c r="V122" s="180"/>
      <c r="W122" s="180"/>
      <c r="X122" s="180"/>
      <c r="Y122" s="180"/>
      <c r="Z122" s="180"/>
      <c r="AA122" s="180"/>
      <c r="AB122" s="181"/>
      <c r="AC122" s="182"/>
      <c r="AD122" s="182"/>
      <c r="AE122" s="163"/>
      <c r="AF122" s="163"/>
    </row>
    <row r="123" spans="2:33">
      <c r="C123" s="170"/>
      <c r="D123" s="171"/>
      <c r="E123" s="170"/>
      <c r="F123" s="171"/>
      <c r="G123" s="170"/>
      <c r="H123" s="172"/>
      <c r="I123" s="173"/>
      <c r="J123" s="174"/>
      <c r="K123" s="175"/>
      <c r="L123" s="171" t="s">
        <v>839</v>
      </c>
      <c r="M123" s="176"/>
      <c r="N123" s="177"/>
      <c r="O123" s="171"/>
      <c r="P123" s="171"/>
      <c r="Q123" s="173"/>
      <c r="R123" s="173"/>
      <c r="S123" s="171"/>
      <c r="T123" s="178"/>
      <c r="U123" s="179"/>
      <c r="V123" s="180"/>
      <c r="W123" s="180"/>
      <c r="X123" s="180"/>
      <c r="Y123" s="180"/>
      <c r="Z123" s="180"/>
      <c r="AA123" s="180"/>
      <c r="AB123" s="181"/>
      <c r="AC123" s="182"/>
      <c r="AD123" s="182"/>
      <c r="AE123" s="163"/>
      <c r="AF123" s="163"/>
    </row>
    <row r="124" spans="2:33">
      <c r="C124" s="170"/>
      <c r="D124" s="171"/>
      <c r="E124" s="170"/>
      <c r="F124" s="171"/>
      <c r="G124" s="170"/>
      <c r="H124" s="172"/>
      <c r="I124" s="173"/>
      <c r="J124" s="174"/>
      <c r="K124" s="175"/>
      <c r="L124" s="171"/>
      <c r="M124" s="176"/>
      <c r="N124" s="177"/>
      <c r="O124" s="171"/>
      <c r="P124" s="171"/>
      <c r="Q124" s="173"/>
      <c r="R124" s="173"/>
      <c r="S124" s="171"/>
      <c r="T124" s="178"/>
      <c r="U124" s="179"/>
      <c r="V124" s="180"/>
      <c r="W124" s="180"/>
      <c r="X124" s="180"/>
      <c r="Y124" s="180"/>
      <c r="Z124" s="180"/>
      <c r="AA124" s="180"/>
      <c r="AB124" s="181"/>
      <c r="AC124" s="182"/>
      <c r="AD124" s="182"/>
      <c r="AE124" s="163"/>
      <c r="AF124" s="163"/>
    </row>
    <row r="125" spans="2:33">
      <c r="C125" s="170"/>
      <c r="D125" s="171"/>
      <c r="E125" s="170"/>
      <c r="F125" s="171"/>
      <c r="G125" s="170"/>
      <c r="H125" s="172"/>
      <c r="I125" s="173"/>
      <c r="J125" s="174"/>
      <c r="K125" s="175"/>
      <c r="L125" s="171"/>
      <c r="M125" s="176"/>
      <c r="N125" s="177"/>
      <c r="O125" s="171"/>
      <c r="P125" s="171"/>
      <c r="Q125" s="173"/>
      <c r="R125" s="173"/>
      <c r="S125" s="171"/>
      <c r="T125" s="178"/>
      <c r="U125" s="179"/>
      <c r="V125" s="180"/>
      <c r="W125" s="180"/>
      <c r="X125" s="180"/>
      <c r="Y125" s="180"/>
      <c r="Z125" s="180"/>
      <c r="AA125" s="180"/>
      <c r="AB125" s="181"/>
      <c r="AC125" s="182"/>
      <c r="AD125" s="182"/>
      <c r="AE125" s="163"/>
      <c r="AF125" s="163"/>
    </row>
    <row r="126" spans="2:33">
      <c r="C126" s="170"/>
      <c r="D126" s="171"/>
      <c r="E126" s="170"/>
      <c r="F126" s="171"/>
      <c r="G126" s="170"/>
      <c r="H126" s="172"/>
      <c r="I126" s="173"/>
      <c r="J126" s="174"/>
      <c r="K126" s="175"/>
      <c r="L126" s="171"/>
      <c r="M126" s="176"/>
      <c r="N126" s="177"/>
      <c r="O126" s="171"/>
      <c r="P126" s="171"/>
      <c r="Q126" s="173"/>
      <c r="R126" s="173"/>
      <c r="S126" s="171"/>
      <c r="T126" s="178"/>
      <c r="U126" s="179"/>
      <c r="V126" s="180"/>
      <c r="W126" s="180"/>
      <c r="X126" s="180"/>
      <c r="Y126" s="180"/>
      <c r="Z126" s="180"/>
      <c r="AA126" s="180"/>
      <c r="AB126" s="181"/>
      <c r="AC126" s="182"/>
      <c r="AD126" s="182"/>
      <c r="AE126" s="163"/>
      <c r="AF126" s="163"/>
    </row>
    <row r="128" spans="2:33">
      <c r="N128" s="144" t="s">
        <v>665</v>
      </c>
    </row>
    <row r="129" spans="2:68">
      <c r="N129" s="144" t="s">
        <v>654</v>
      </c>
    </row>
    <row r="130" spans="2:68">
      <c r="C130" s="144" t="s">
        <v>916</v>
      </c>
      <c r="D130" s="263">
        <v>0.05</v>
      </c>
    </row>
    <row r="132" spans="2:68">
      <c r="B132" s="264" t="s">
        <v>878</v>
      </c>
      <c r="C132" s="265" t="s">
        <v>554</v>
      </c>
      <c r="D132" s="265" t="s">
        <v>555</v>
      </c>
      <c r="E132" s="265" t="s">
        <v>556</v>
      </c>
      <c r="F132" s="126" t="s">
        <v>557</v>
      </c>
      <c r="H132" s="144" t="s">
        <v>917</v>
      </c>
    </row>
    <row r="133" spans="2:68">
      <c r="B133" s="126" t="s">
        <v>558</v>
      </c>
      <c r="C133" s="266" t="s">
        <v>414</v>
      </c>
      <c r="D133" s="267">
        <f>H133*(1+$D$130)</f>
        <v>28.455000000000002</v>
      </c>
      <c r="E133" s="266" t="s">
        <v>39</v>
      </c>
      <c r="F133" s="126" t="s">
        <v>559</v>
      </c>
      <c r="H133" s="268">
        <v>27.1</v>
      </c>
    </row>
    <row r="134" spans="2:68">
      <c r="B134" s="126" t="s">
        <v>558</v>
      </c>
      <c r="C134" s="266" t="s">
        <v>562</v>
      </c>
      <c r="D134" s="267">
        <f t="shared" ref="D134:D182" si="10">H134*(1+$D$130)</f>
        <v>22.428000000000001</v>
      </c>
      <c r="E134" s="266" t="s">
        <v>39</v>
      </c>
      <c r="F134" s="126" t="s">
        <v>559</v>
      </c>
      <c r="H134" s="268">
        <v>21.36</v>
      </c>
    </row>
    <row r="135" spans="2:68">
      <c r="B135" s="126" t="s">
        <v>558</v>
      </c>
      <c r="C135" s="266" t="s">
        <v>412</v>
      </c>
      <c r="D135" s="267">
        <f t="shared" si="10"/>
        <v>25.000499999999999</v>
      </c>
      <c r="E135" s="266" t="s">
        <v>39</v>
      </c>
      <c r="F135" s="126" t="s">
        <v>559</v>
      </c>
      <c r="H135" s="268">
        <v>23.81</v>
      </c>
    </row>
    <row r="136" spans="2:68">
      <c r="B136" s="126" t="s">
        <v>558</v>
      </c>
      <c r="C136" s="266" t="s">
        <v>564</v>
      </c>
      <c r="D136" s="267">
        <f t="shared" si="10"/>
        <v>20.737500000000001</v>
      </c>
      <c r="E136" s="266" t="s">
        <v>39</v>
      </c>
      <c r="F136" s="126" t="s">
        <v>559</v>
      </c>
      <c r="H136" s="268">
        <v>19.75</v>
      </c>
    </row>
    <row r="137" spans="2:68">
      <c r="B137" s="126" t="s">
        <v>558</v>
      </c>
      <c r="C137" s="266" t="s">
        <v>410</v>
      </c>
      <c r="D137" s="267">
        <f t="shared" si="10"/>
        <v>20.002500000000001</v>
      </c>
      <c r="E137" s="266" t="s">
        <v>39</v>
      </c>
      <c r="F137" s="126" t="s">
        <v>559</v>
      </c>
      <c r="H137" s="268">
        <v>19.05</v>
      </c>
    </row>
    <row r="138" spans="2:68">
      <c r="B138" s="126" t="s">
        <v>558</v>
      </c>
      <c r="C138" s="266" t="s">
        <v>565</v>
      </c>
      <c r="D138" s="267">
        <f t="shared" si="10"/>
        <v>102.753</v>
      </c>
      <c r="E138" s="266" t="s">
        <v>566</v>
      </c>
      <c r="F138" s="126" t="s">
        <v>559</v>
      </c>
      <c r="H138" s="268">
        <v>97.86</v>
      </c>
    </row>
    <row r="139" spans="2:68">
      <c r="B139" s="126" t="s">
        <v>558</v>
      </c>
      <c r="C139" s="266" t="s">
        <v>567</v>
      </c>
      <c r="D139" s="267">
        <f t="shared" si="10"/>
        <v>100.49549999999999</v>
      </c>
      <c r="E139" s="266" t="s">
        <v>566</v>
      </c>
      <c r="F139" s="126" t="s">
        <v>559</v>
      </c>
      <c r="H139" s="268">
        <v>95.71</v>
      </c>
    </row>
    <row r="140" spans="2:68">
      <c r="B140" s="126" t="s">
        <v>568</v>
      </c>
      <c r="C140" s="266" t="s">
        <v>569</v>
      </c>
      <c r="D140" s="267">
        <f t="shared" si="10"/>
        <v>25.378500000000003</v>
      </c>
      <c r="E140" s="266" t="s">
        <v>39</v>
      </c>
      <c r="F140" s="126" t="s">
        <v>559</v>
      </c>
      <c r="H140" s="268">
        <v>24.17</v>
      </c>
      <c r="BO140" s="183"/>
      <c r="BP140" s="183"/>
    </row>
    <row r="141" spans="2:68">
      <c r="B141" s="126" t="s">
        <v>568</v>
      </c>
      <c r="C141" s="266" t="s">
        <v>570</v>
      </c>
      <c r="D141" s="267">
        <f t="shared" si="10"/>
        <v>29.925000000000001</v>
      </c>
      <c r="E141" s="266" t="s">
        <v>39</v>
      </c>
      <c r="F141" s="126" t="s">
        <v>559</v>
      </c>
      <c r="H141" s="268">
        <v>28.5</v>
      </c>
      <c r="BO141" s="183"/>
      <c r="BP141" s="183"/>
    </row>
    <row r="142" spans="2:68">
      <c r="B142" s="126" t="s">
        <v>568</v>
      </c>
      <c r="C142" s="266" t="s">
        <v>572</v>
      </c>
      <c r="D142" s="267">
        <f t="shared" si="10"/>
        <v>29.925000000000001</v>
      </c>
      <c r="E142" s="266" t="s">
        <v>39</v>
      </c>
      <c r="F142" s="126" t="s">
        <v>559</v>
      </c>
      <c r="H142" s="268">
        <v>28.5</v>
      </c>
      <c r="BO142" s="183"/>
      <c r="BP142" s="183"/>
    </row>
    <row r="143" spans="2:68">
      <c r="B143" s="126" t="s">
        <v>568</v>
      </c>
      <c r="C143" s="266" t="s">
        <v>574</v>
      </c>
      <c r="D143" s="267">
        <f t="shared" si="10"/>
        <v>26.575499999999998</v>
      </c>
      <c r="E143" s="266" t="s">
        <v>39</v>
      </c>
      <c r="F143" s="126" t="s">
        <v>559</v>
      </c>
      <c r="H143" s="268">
        <v>25.31</v>
      </c>
      <c r="BO143" s="183"/>
      <c r="BP143" s="183"/>
    </row>
    <row r="144" spans="2:68">
      <c r="B144" s="126" t="s">
        <v>568</v>
      </c>
      <c r="C144" s="266" t="s">
        <v>575</v>
      </c>
      <c r="D144" s="267">
        <f t="shared" si="10"/>
        <v>27.341999999999999</v>
      </c>
      <c r="E144" s="266" t="s">
        <v>39</v>
      </c>
      <c r="F144" s="126" t="s">
        <v>559</v>
      </c>
      <c r="H144" s="268">
        <v>26.04</v>
      </c>
      <c r="BO144" s="183"/>
      <c r="BP144" s="183"/>
    </row>
    <row r="145" spans="2:68">
      <c r="B145" s="126" t="s">
        <v>568</v>
      </c>
      <c r="C145" s="266" t="s">
        <v>576</v>
      </c>
      <c r="D145" s="267">
        <f t="shared" si="10"/>
        <v>23.4465</v>
      </c>
      <c r="E145" s="266" t="s">
        <v>39</v>
      </c>
      <c r="F145" s="126" t="s">
        <v>559</v>
      </c>
      <c r="H145" s="268">
        <v>22.33</v>
      </c>
      <c r="BO145" s="183"/>
      <c r="BP145" s="183"/>
    </row>
    <row r="146" spans="2:68">
      <c r="B146" s="126" t="s">
        <v>568</v>
      </c>
      <c r="C146" s="266" t="s">
        <v>577</v>
      </c>
      <c r="D146" s="267">
        <f t="shared" si="10"/>
        <v>26.008500000000002</v>
      </c>
      <c r="E146" s="266" t="s">
        <v>39</v>
      </c>
      <c r="F146" s="126" t="s">
        <v>559</v>
      </c>
      <c r="H146" s="268">
        <v>24.77</v>
      </c>
      <c r="BO146" s="183"/>
      <c r="BP146" s="183"/>
    </row>
    <row r="147" spans="2:68">
      <c r="B147" s="126" t="s">
        <v>568</v>
      </c>
      <c r="C147" s="266" t="s">
        <v>578</v>
      </c>
      <c r="D147" s="267">
        <f t="shared" si="10"/>
        <v>26.0505</v>
      </c>
      <c r="E147" s="266" t="s">
        <v>39</v>
      </c>
      <c r="F147" s="126" t="s">
        <v>559</v>
      </c>
      <c r="H147" s="268">
        <v>24.81</v>
      </c>
      <c r="BO147" s="183"/>
      <c r="BP147" s="183"/>
    </row>
    <row r="148" spans="2:68">
      <c r="B148" s="126" t="s">
        <v>568</v>
      </c>
      <c r="C148" s="266" t="s">
        <v>579</v>
      </c>
      <c r="D148" s="267">
        <f t="shared" si="10"/>
        <v>30.523500000000002</v>
      </c>
      <c r="E148" s="266" t="s">
        <v>39</v>
      </c>
      <c r="F148" s="126" t="s">
        <v>559</v>
      </c>
      <c r="H148" s="268">
        <v>29.07</v>
      </c>
      <c r="BO148" s="183"/>
      <c r="BP148" s="183"/>
    </row>
    <row r="149" spans="2:68">
      <c r="B149" s="126" t="s">
        <v>568</v>
      </c>
      <c r="C149" s="266" t="s">
        <v>580</v>
      </c>
      <c r="D149" s="267">
        <f t="shared" si="10"/>
        <v>29.284500000000001</v>
      </c>
      <c r="E149" s="266" t="s">
        <v>39</v>
      </c>
      <c r="F149" s="126" t="s">
        <v>559</v>
      </c>
      <c r="H149" s="268">
        <v>27.89</v>
      </c>
      <c r="BO149" s="183"/>
      <c r="BP149" s="183"/>
    </row>
    <row r="150" spans="2:68">
      <c r="B150" s="126" t="s">
        <v>568</v>
      </c>
      <c r="C150" s="266" t="s">
        <v>581</v>
      </c>
      <c r="D150" s="267">
        <f t="shared" si="10"/>
        <v>27.006</v>
      </c>
      <c r="E150" s="266" t="s">
        <v>39</v>
      </c>
      <c r="F150" s="126" t="s">
        <v>559</v>
      </c>
      <c r="H150" s="268">
        <v>25.72</v>
      </c>
      <c r="BO150" s="183"/>
      <c r="BP150" s="183"/>
    </row>
    <row r="151" spans="2:68">
      <c r="B151" s="126" t="s">
        <v>568</v>
      </c>
      <c r="C151" s="266" t="s">
        <v>582</v>
      </c>
      <c r="D151" s="267">
        <f t="shared" si="10"/>
        <v>22.05</v>
      </c>
      <c r="E151" s="266" t="s">
        <v>39</v>
      </c>
      <c r="F151" s="126" t="s">
        <v>559</v>
      </c>
      <c r="H151" s="268">
        <v>21</v>
      </c>
      <c r="BO151" s="183"/>
      <c r="BP151" s="183"/>
    </row>
    <row r="152" spans="2:68">
      <c r="B152" s="126" t="s">
        <v>583</v>
      </c>
      <c r="C152" s="266" t="s">
        <v>919</v>
      </c>
      <c r="D152" s="267">
        <f t="shared" si="10"/>
        <v>8.4000000000000005E-2</v>
      </c>
      <c r="E152" s="266" t="s">
        <v>903</v>
      </c>
      <c r="F152" s="126" t="s">
        <v>559</v>
      </c>
      <c r="H152" s="268">
        <v>0.08</v>
      </c>
      <c r="BO152" s="183"/>
      <c r="BP152" s="183"/>
    </row>
    <row r="153" spans="2:68">
      <c r="B153" s="126" t="s">
        <v>583</v>
      </c>
      <c r="C153" s="266" t="s">
        <v>700</v>
      </c>
      <c r="D153" s="267">
        <f t="shared" si="10"/>
        <v>12.600000000000001</v>
      </c>
      <c r="E153" s="266" t="s">
        <v>39</v>
      </c>
      <c r="F153" s="126" t="s">
        <v>559</v>
      </c>
      <c r="H153" s="268">
        <v>12</v>
      </c>
      <c r="BO153" s="183"/>
      <c r="BP153" s="183"/>
    </row>
    <row r="154" spans="2:68">
      <c r="B154" s="126" t="s">
        <v>583</v>
      </c>
      <c r="C154" s="266" t="s">
        <v>563</v>
      </c>
      <c r="D154" s="267">
        <f t="shared" si="10"/>
        <v>7.3709999999999996</v>
      </c>
      <c r="E154" s="266" t="s">
        <v>39</v>
      </c>
      <c r="F154" s="126" t="s">
        <v>559</v>
      </c>
      <c r="H154" s="268">
        <v>7.02</v>
      </c>
      <c r="BO154" s="183"/>
      <c r="BP154" s="183"/>
    </row>
    <row r="155" spans="2:68">
      <c r="B155" s="126" t="s">
        <v>583</v>
      </c>
      <c r="C155" s="266" t="s">
        <v>584</v>
      </c>
      <c r="D155" s="267">
        <f t="shared" si="10"/>
        <v>10.563000000000001</v>
      </c>
      <c r="E155" s="266" t="s">
        <v>39</v>
      </c>
      <c r="F155" s="126" t="s">
        <v>559</v>
      </c>
      <c r="H155" s="268">
        <v>10.06</v>
      </c>
      <c r="BO155" s="183"/>
      <c r="BP155" s="183"/>
    </row>
    <row r="156" spans="2:68">
      <c r="B156" s="126" t="s">
        <v>583</v>
      </c>
      <c r="C156" s="266" t="s">
        <v>586</v>
      </c>
      <c r="D156" s="267">
        <f t="shared" si="10"/>
        <v>10.426500000000001</v>
      </c>
      <c r="E156" s="266" t="s">
        <v>39</v>
      </c>
      <c r="F156" s="126" t="s">
        <v>559</v>
      </c>
      <c r="H156" s="268">
        <v>9.93</v>
      </c>
      <c r="Z156" s="184"/>
      <c r="AA156" s="184"/>
      <c r="AB156" s="184"/>
      <c r="BO156" s="183"/>
      <c r="BP156" s="183"/>
    </row>
    <row r="157" spans="2:68">
      <c r="B157" s="126" t="s">
        <v>583</v>
      </c>
      <c r="C157" s="266" t="s">
        <v>587</v>
      </c>
      <c r="D157" s="267">
        <f t="shared" si="10"/>
        <v>7.6125000000000007</v>
      </c>
      <c r="E157" s="266" t="s">
        <v>39</v>
      </c>
      <c r="F157" s="126" t="s">
        <v>559</v>
      </c>
      <c r="H157" s="268">
        <v>7.25</v>
      </c>
      <c r="BO157" s="183"/>
      <c r="BP157" s="183"/>
    </row>
    <row r="158" spans="2:68">
      <c r="B158" s="126" t="s">
        <v>583</v>
      </c>
      <c r="C158" s="266" t="s">
        <v>588</v>
      </c>
      <c r="D158" s="267">
        <f t="shared" si="10"/>
        <v>8.2004999999999999</v>
      </c>
      <c r="E158" s="266" t="s">
        <v>39</v>
      </c>
      <c r="F158" s="126" t="s">
        <v>559</v>
      </c>
      <c r="H158" s="268">
        <v>7.81</v>
      </c>
      <c r="BO158" s="183"/>
      <c r="BP158" s="183"/>
    </row>
    <row r="159" spans="2:68">
      <c r="B159" s="126" t="s">
        <v>583</v>
      </c>
      <c r="C159" s="266" t="s">
        <v>589</v>
      </c>
      <c r="D159" s="267">
        <f t="shared" si="10"/>
        <v>8.2319999999999993</v>
      </c>
      <c r="E159" s="266" t="s">
        <v>39</v>
      </c>
      <c r="F159" s="126" t="s">
        <v>559</v>
      </c>
      <c r="H159" s="268">
        <v>7.84</v>
      </c>
      <c r="BO159" s="183"/>
      <c r="BP159" s="183"/>
    </row>
    <row r="160" spans="2:68">
      <c r="B160" s="126" t="s">
        <v>583</v>
      </c>
      <c r="C160" s="266" t="s">
        <v>590</v>
      </c>
      <c r="D160" s="267">
        <f t="shared" si="10"/>
        <v>8.2949999999999999</v>
      </c>
      <c r="E160" s="266" t="s">
        <v>39</v>
      </c>
      <c r="F160" s="126" t="s">
        <v>559</v>
      </c>
      <c r="H160" s="268">
        <v>7.9</v>
      </c>
      <c r="BO160" s="183"/>
      <c r="BP160" s="183"/>
    </row>
    <row r="161" spans="2:68">
      <c r="B161" s="126" t="s">
        <v>583</v>
      </c>
      <c r="C161" s="266" t="s">
        <v>591</v>
      </c>
      <c r="D161" s="267">
        <f t="shared" si="10"/>
        <v>19.456500000000002</v>
      </c>
      <c r="E161" s="266" t="s">
        <v>39</v>
      </c>
      <c r="F161" s="126" t="s">
        <v>559</v>
      </c>
      <c r="H161" s="268">
        <v>18.53</v>
      </c>
      <c r="BO161" s="183"/>
      <c r="BP161" s="183"/>
    </row>
    <row r="162" spans="2:68">
      <c r="B162" s="126" t="s">
        <v>583</v>
      </c>
      <c r="C162" s="266" t="s">
        <v>593</v>
      </c>
      <c r="D162" s="267">
        <f t="shared" si="10"/>
        <v>28.875</v>
      </c>
      <c r="E162" s="266" t="s">
        <v>594</v>
      </c>
      <c r="F162" s="126" t="s">
        <v>559</v>
      </c>
      <c r="H162" s="268">
        <v>27.5</v>
      </c>
      <c r="BO162" s="183"/>
      <c r="BP162" s="183"/>
    </row>
    <row r="163" spans="2:68">
      <c r="B163" s="126" t="s">
        <v>583</v>
      </c>
      <c r="C163" s="266" t="s">
        <v>595</v>
      </c>
      <c r="D163" s="267">
        <f t="shared" si="10"/>
        <v>8.8620000000000001</v>
      </c>
      <c r="E163" s="266" t="s">
        <v>39</v>
      </c>
      <c r="F163" s="126" t="s">
        <v>559</v>
      </c>
      <c r="H163" s="268">
        <v>8.44</v>
      </c>
      <c r="BO163" s="183"/>
      <c r="BP163" s="183"/>
    </row>
    <row r="164" spans="2:68">
      <c r="B164" s="126" t="s">
        <v>583</v>
      </c>
      <c r="C164" s="266" t="s">
        <v>596</v>
      </c>
      <c r="D164" s="267">
        <f t="shared" si="10"/>
        <v>8.0954999999999995</v>
      </c>
      <c r="E164" s="266" t="s">
        <v>39</v>
      </c>
      <c r="F164" s="126" t="s">
        <v>559</v>
      </c>
      <c r="H164" s="268">
        <v>7.71</v>
      </c>
      <c r="BO164" s="183"/>
      <c r="BP164" s="183"/>
    </row>
    <row r="165" spans="2:68">
      <c r="B165" s="126" t="s">
        <v>583</v>
      </c>
      <c r="C165" s="266" t="s">
        <v>597</v>
      </c>
      <c r="D165" s="267">
        <f t="shared" si="10"/>
        <v>8.2319999999999993</v>
      </c>
      <c r="E165" s="266" t="s">
        <v>39</v>
      </c>
      <c r="F165" s="126" t="s">
        <v>559</v>
      </c>
      <c r="H165" s="268">
        <v>7.84</v>
      </c>
      <c r="BO165" s="183"/>
      <c r="BP165" s="183"/>
    </row>
    <row r="166" spans="2:68">
      <c r="B166" s="126" t="s">
        <v>583</v>
      </c>
      <c r="C166" s="266" t="s">
        <v>592</v>
      </c>
      <c r="D166" s="267">
        <f t="shared" si="10"/>
        <v>7.0875000000000004</v>
      </c>
      <c r="E166" s="266" t="s">
        <v>39</v>
      </c>
      <c r="F166" s="126" t="s">
        <v>559</v>
      </c>
      <c r="H166" s="268">
        <v>6.75</v>
      </c>
      <c r="BO166" s="183"/>
      <c r="BP166" s="183"/>
    </row>
    <row r="167" spans="2:68">
      <c r="B167" s="126" t="s">
        <v>598</v>
      </c>
      <c r="C167" s="266" t="s">
        <v>599</v>
      </c>
      <c r="D167" s="267">
        <f t="shared" si="10"/>
        <v>45.454500000000003</v>
      </c>
      <c r="E167" s="266" t="s">
        <v>39</v>
      </c>
      <c r="F167" s="126" t="s">
        <v>559</v>
      </c>
      <c r="H167" s="268">
        <v>43.29</v>
      </c>
      <c r="BO167" s="183"/>
      <c r="BP167" s="183"/>
    </row>
    <row r="168" spans="2:68">
      <c r="B168" s="126" t="s">
        <v>598</v>
      </c>
      <c r="C168" s="266" t="s">
        <v>600</v>
      </c>
      <c r="D168" s="267">
        <f t="shared" si="10"/>
        <v>41.391000000000005</v>
      </c>
      <c r="E168" s="266" t="s">
        <v>39</v>
      </c>
      <c r="F168" s="126" t="s">
        <v>559</v>
      </c>
      <c r="H168" s="268">
        <v>39.42</v>
      </c>
      <c r="BO168" s="183"/>
      <c r="BP168" s="183"/>
    </row>
    <row r="169" spans="2:68">
      <c r="B169" s="126" t="s">
        <v>598</v>
      </c>
      <c r="C169" s="266" t="s">
        <v>601</v>
      </c>
      <c r="D169" s="267">
        <f t="shared" si="10"/>
        <v>43.186500000000002</v>
      </c>
      <c r="E169" s="266" t="s">
        <v>39</v>
      </c>
      <c r="F169" s="126" t="s">
        <v>559</v>
      </c>
      <c r="H169" s="268">
        <v>41.13</v>
      </c>
      <c r="BO169" s="183"/>
      <c r="BP169" s="183"/>
    </row>
    <row r="170" spans="2:68">
      <c r="B170" s="126" t="s">
        <v>598</v>
      </c>
      <c r="C170" s="266" t="s">
        <v>602</v>
      </c>
      <c r="D170" s="267">
        <f t="shared" si="10"/>
        <v>34.125</v>
      </c>
      <c r="E170" s="266" t="s">
        <v>39</v>
      </c>
      <c r="F170" s="126" t="s">
        <v>559</v>
      </c>
      <c r="H170" s="268">
        <v>32.5</v>
      </c>
      <c r="BO170" s="183"/>
      <c r="BP170" s="183"/>
    </row>
    <row r="171" spans="2:68">
      <c r="B171" s="126" t="s">
        <v>598</v>
      </c>
      <c r="C171" s="266" t="s">
        <v>603</v>
      </c>
      <c r="D171" s="267">
        <f t="shared" si="10"/>
        <v>10.290000000000001</v>
      </c>
      <c r="E171" s="266" t="s">
        <v>39</v>
      </c>
      <c r="F171" s="126" t="s">
        <v>559</v>
      </c>
      <c r="H171" s="268">
        <v>9.8000000000000007</v>
      </c>
      <c r="BO171" s="183"/>
      <c r="BP171" s="183"/>
    </row>
    <row r="172" spans="2:68">
      <c r="B172" s="126" t="s">
        <v>598</v>
      </c>
      <c r="C172" s="266" t="s">
        <v>604</v>
      </c>
      <c r="D172" s="267">
        <f t="shared" si="10"/>
        <v>0.16800000000000001</v>
      </c>
      <c r="E172" s="266" t="s">
        <v>605</v>
      </c>
      <c r="F172" s="126" t="s">
        <v>559</v>
      </c>
      <c r="H172" s="268">
        <v>0.16</v>
      </c>
      <c r="BO172" s="183"/>
      <c r="BP172" s="183"/>
    </row>
    <row r="173" spans="2:68">
      <c r="B173" s="126" t="s">
        <v>598</v>
      </c>
      <c r="C173" s="266" t="s">
        <v>606</v>
      </c>
      <c r="D173" s="267">
        <f t="shared" si="10"/>
        <v>0.30449999999999999</v>
      </c>
      <c r="E173" s="266" t="s">
        <v>605</v>
      </c>
      <c r="F173" s="126" t="s">
        <v>559</v>
      </c>
      <c r="H173" s="268">
        <v>0.28999999999999998</v>
      </c>
      <c r="BO173" s="183"/>
      <c r="BP173" s="183"/>
    </row>
    <row r="174" spans="2:68">
      <c r="B174" s="126" t="s">
        <v>598</v>
      </c>
      <c r="C174" s="266" t="s">
        <v>606</v>
      </c>
      <c r="D174" s="267">
        <f t="shared" si="10"/>
        <v>4.2735000000000003</v>
      </c>
      <c r="E174" s="266" t="s">
        <v>607</v>
      </c>
      <c r="F174" s="126" t="s">
        <v>559</v>
      </c>
      <c r="H174" s="268">
        <v>4.07</v>
      </c>
      <c r="BO174" s="183"/>
      <c r="BP174" s="183"/>
    </row>
    <row r="175" spans="2:68">
      <c r="B175" s="126" t="s">
        <v>598</v>
      </c>
      <c r="C175" s="266" t="s">
        <v>608</v>
      </c>
      <c r="D175" s="267">
        <f t="shared" si="10"/>
        <v>19.95</v>
      </c>
      <c r="E175" s="266" t="s">
        <v>39</v>
      </c>
      <c r="F175" s="126" t="s">
        <v>559</v>
      </c>
      <c r="H175" s="268">
        <v>19</v>
      </c>
      <c r="BO175" s="183"/>
      <c r="BP175" s="183"/>
    </row>
    <row r="176" spans="2:68">
      <c r="B176" s="126" t="s">
        <v>598</v>
      </c>
      <c r="C176" s="266" t="s">
        <v>609</v>
      </c>
      <c r="D176" s="267">
        <f t="shared" si="10"/>
        <v>9.7125000000000004</v>
      </c>
      <c r="E176" s="266" t="s">
        <v>39</v>
      </c>
      <c r="F176" s="126" t="s">
        <v>559</v>
      </c>
      <c r="H176" s="268">
        <v>9.25</v>
      </c>
      <c r="BO176" s="183"/>
      <c r="BP176" s="183"/>
    </row>
    <row r="177" spans="2:68">
      <c r="B177" s="126" t="s">
        <v>598</v>
      </c>
      <c r="C177" s="266" t="s">
        <v>610</v>
      </c>
      <c r="D177" s="267">
        <f t="shared" si="10"/>
        <v>18.312000000000001</v>
      </c>
      <c r="E177" s="266" t="s">
        <v>611</v>
      </c>
      <c r="F177" s="126" t="s">
        <v>559</v>
      </c>
      <c r="H177" s="268">
        <v>17.440000000000001</v>
      </c>
      <c r="BO177" s="183"/>
      <c r="BP177" s="183"/>
    </row>
    <row r="178" spans="2:68">
      <c r="B178" s="126" t="s">
        <v>598</v>
      </c>
      <c r="C178" s="266" t="s">
        <v>612</v>
      </c>
      <c r="D178" s="267">
        <f t="shared" si="10"/>
        <v>31.353000000000002</v>
      </c>
      <c r="E178" s="266" t="s">
        <v>611</v>
      </c>
      <c r="F178" s="126" t="s">
        <v>559</v>
      </c>
      <c r="H178" s="268">
        <v>29.86</v>
      </c>
      <c r="BO178" s="183"/>
      <c r="BP178" s="183"/>
    </row>
    <row r="179" spans="2:68">
      <c r="B179" s="126" t="s">
        <v>598</v>
      </c>
      <c r="C179" s="266" t="s">
        <v>573</v>
      </c>
      <c r="D179" s="267">
        <f t="shared" si="10"/>
        <v>10.5</v>
      </c>
      <c r="E179" s="266" t="s">
        <v>611</v>
      </c>
      <c r="F179" s="126" t="s">
        <v>559</v>
      </c>
      <c r="H179" s="268">
        <v>10</v>
      </c>
      <c r="BO179" s="183"/>
      <c r="BP179" s="183"/>
    </row>
    <row r="180" spans="2:68">
      <c r="B180" s="126" t="s">
        <v>598</v>
      </c>
      <c r="C180" s="266" t="s">
        <v>571</v>
      </c>
      <c r="D180" s="267">
        <f t="shared" si="10"/>
        <v>6.8250000000000002</v>
      </c>
      <c r="E180" s="266" t="s">
        <v>611</v>
      </c>
      <c r="F180" s="126" t="s">
        <v>559</v>
      </c>
      <c r="H180" s="268">
        <v>6.5</v>
      </c>
      <c r="BO180" s="183"/>
      <c r="BP180" s="183"/>
    </row>
    <row r="181" spans="2:68">
      <c r="B181" s="126" t="s">
        <v>598</v>
      </c>
      <c r="C181" s="266" t="s">
        <v>918</v>
      </c>
      <c r="D181" s="267">
        <f t="shared" si="10"/>
        <v>0.78750000000000009</v>
      </c>
      <c r="E181" s="266" t="s">
        <v>611</v>
      </c>
      <c r="F181" s="126"/>
      <c r="H181" s="268">
        <v>0.75</v>
      </c>
      <c r="BO181" s="183"/>
      <c r="BP181" s="183"/>
    </row>
    <row r="182" spans="2:68">
      <c r="B182" s="126" t="s">
        <v>598</v>
      </c>
      <c r="C182" s="266" t="s">
        <v>585</v>
      </c>
      <c r="D182" s="267">
        <f t="shared" si="10"/>
        <v>8.4</v>
      </c>
      <c r="E182" s="266" t="s">
        <v>594</v>
      </c>
      <c r="F182" s="126" t="s">
        <v>613</v>
      </c>
      <c r="H182" s="268">
        <v>8</v>
      </c>
      <c r="BO182" s="183"/>
      <c r="BP182" s="183"/>
    </row>
    <row r="183" spans="2:68">
      <c r="B183" s="126"/>
      <c r="C183" s="269" t="s">
        <v>360</v>
      </c>
      <c r="D183" s="270"/>
      <c r="E183" s="269" t="s">
        <v>39</v>
      </c>
      <c r="F183" s="126"/>
      <c r="BO183" s="183"/>
      <c r="BP183" s="183"/>
    </row>
    <row r="184" spans="2:68">
      <c r="BO184" s="183"/>
      <c r="BP184" s="183"/>
    </row>
    <row r="185" spans="2:68">
      <c r="BO185" s="183"/>
      <c r="BP185" s="183"/>
    </row>
    <row r="186" spans="2:68">
      <c r="BO186" s="183"/>
      <c r="BP186" s="183"/>
    </row>
    <row r="209" spans="77:99">
      <c r="CQ209" s="185"/>
    </row>
    <row r="212" spans="77:99">
      <c r="BY212" s="149"/>
      <c r="BZ212" s="149"/>
      <c r="CA212" s="149"/>
      <c r="CB212" s="149"/>
      <c r="CC212" s="149"/>
      <c r="CD212" s="149"/>
      <c r="CE212" s="149"/>
      <c r="CF212" s="149"/>
      <c r="CG212" s="149"/>
      <c r="CH212" s="149"/>
      <c r="CI212" s="149"/>
      <c r="CJ212" s="149"/>
      <c r="CK212" s="149"/>
      <c r="CL212" s="149"/>
      <c r="CM212" s="149"/>
      <c r="CN212" s="149"/>
      <c r="CO212" s="149"/>
      <c r="CP212" s="149"/>
      <c r="CQ212" s="149"/>
      <c r="CR212" s="149"/>
      <c r="CS212" s="149"/>
      <c r="CT212" s="149"/>
      <c r="CU212" s="149"/>
    </row>
  </sheetData>
  <mergeCells count="1">
    <mergeCell ref="B1:E1"/>
  </mergeCells>
  <dataValidations disablePrompts="1" count="4">
    <dataValidation type="list" allowBlank="1" showInputMessage="1" showErrorMessage="1" sqref="AS6:AS11 AS13:AS32 O6:O126" xr:uid="{889F1789-4743-4886-AAA9-B5043046234E}">
      <formula1>$BC$6:$BC$52</formula1>
    </dataValidation>
    <dataValidation type="list" allowBlank="1" showInputMessage="1" showErrorMessage="1" sqref="O5" xr:uid="{F2C1F646-C8D6-474D-B49F-79D3D4F2A970}">
      <formula1>repair_impl</formula1>
    </dataValidation>
    <dataValidation type="list" allowBlank="1" showInputMessage="1" showErrorMessage="1" sqref="AS12" xr:uid="{D5AABDC3-C00A-42E9-9A3A-65D59A423048}">
      <formula1>$BB$6:$BB$52</formula1>
    </dataValidation>
    <dataValidation type="list" allowBlank="1" showInputMessage="1" showErrorMessage="1" sqref="N6:N126" xr:uid="{FF4C777E-9CD2-412E-A06F-5455758273A3}">
      <formula1>$N$128:$N$129</formula1>
    </dataValidation>
  </dataValidations>
  <hyperlinks>
    <hyperlink ref="BS15" r:id="rId1" xr:uid="{39552F1A-7777-463D-97B6-B274470A7019}"/>
    <hyperlink ref="BS14" r:id="rId2" xr:uid="{B2386B57-A573-48D5-B6D6-21590905F844}"/>
  </hyperlinks>
  <pageMargins left="0.7" right="0.7" top="0.75" bottom="0.75" header="0.3" footer="0.3"/>
  <legacyDrawing r:id="rId3"/>
  <tableParts count="5">
    <tablePart r:id="rId4"/>
    <tablePart r:id="rId5"/>
    <tablePart r:id="rId6"/>
    <tablePart r:id="rId7"/>
    <tablePart r:id="rId8"/>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EB039-82E9-442A-9EE2-49A0D79EC575}">
  <sheetPr codeName="Sheet4"/>
  <dimension ref="A1:R38"/>
  <sheetViews>
    <sheetView showGridLines="0" workbookViewId="0">
      <selection activeCell="A19" sqref="A19:XFD1048576"/>
    </sheetView>
  </sheetViews>
  <sheetFormatPr defaultColWidth="0" defaultRowHeight="15.75" zeroHeight="1"/>
  <cols>
    <col min="1" max="1" width="3.125" style="144" customWidth="1"/>
    <col min="2" max="2" width="30.375" style="144" bestFit="1" customWidth="1"/>
    <col min="3" max="3" width="10.5" style="144" bestFit="1" customWidth="1"/>
    <col min="4" max="4" width="13.25" style="144" bestFit="1" customWidth="1"/>
    <col min="5" max="5" width="14.25" style="144" bestFit="1" customWidth="1"/>
    <col min="6" max="6" width="13.375" style="144" bestFit="1" customWidth="1"/>
    <col min="7" max="7" width="13.375" style="144" hidden="1" customWidth="1"/>
    <col min="8" max="8" width="3.125" style="144" customWidth="1"/>
    <col min="9" max="12" width="9" style="144" hidden="1" customWidth="1"/>
    <col min="13" max="13" width="12.25" style="144" hidden="1" customWidth="1"/>
    <col min="14" max="16384" width="9" style="144" hidden="1"/>
  </cols>
  <sheetData>
    <row r="1" spans="2:18" ht="18.75">
      <c r="B1" s="298" t="s">
        <v>616</v>
      </c>
      <c r="C1" s="298"/>
      <c r="D1" s="298"/>
      <c r="E1" s="298"/>
      <c r="F1" s="298"/>
      <c r="G1" s="248"/>
      <c r="H1" s="249"/>
    </row>
    <row r="2" spans="2:18">
      <c r="B2" s="250"/>
      <c r="C2" s="250" t="s">
        <v>920</v>
      </c>
      <c r="D2" s="250" t="s">
        <v>617</v>
      </c>
      <c r="E2" s="250" t="s">
        <v>688</v>
      </c>
      <c r="F2" s="250" t="s">
        <v>679</v>
      </c>
      <c r="G2" s="144" t="s">
        <v>689</v>
      </c>
    </row>
    <row r="3" spans="2:18">
      <c r="B3" s="147" t="s">
        <v>371</v>
      </c>
      <c r="C3" s="147"/>
    </row>
    <row r="4" spans="2:18">
      <c r="B4" s="251" t="s">
        <v>499</v>
      </c>
      <c r="C4" s="251" t="s">
        <v>681</v>
      </c>
      <c r="D4" s="271">
        <v>3.36</v>
      </c>
      <c r="E4" s="271">
        <v>1.91</v>
      </c>
      <c r="F4" s="271">
        <v>2.27</v>
      </c>
      <c r="G4" s="144" t="s">
        <v>681</v>
      </c>
      <c r="Q4" s="144">
        <v>18</v>
      </c>
      <c r="R4" s="144" t="s">
        <v>805</v>
      </c>
    </row>
    <row r="5" spans="2:18">
      <c r="B5" s="251" t="s">
        <v>906</v>
      </c>
      <c r="C5" s="251" t="s">
        <v>681</v>
      </c>
      <c r="D5" s="271">
        <v>0.17</v>
      </c>
      <c r="E5" s="271">
        <v>0.1</v>
      </c>
      <c r="F5" s="271">
        <v>0.11</v>
      </c>
      <c r="G5" s="144" t="s">
        <v>681</v>
      </c>
    </row>
    <row r="6" spans="2:18">
      <c r="B6" s="251" t="s">
        <v>618</v>
      </c>
      <c r="C6" s="251" t="s">
        <v>905</v>
      </c>
      <c r="D6" s="271">
        <v>15.19</v>
      </c>
      <c r="E6" s="271">
        <v>9.7899999999999991</v>
      </c>
      <c r="F6" s="271">
        <v>9.76</v>
      </c>
      <c r="G6" s="144" t="s">
        <v>905</v>
      </c>
      <c r="I6" s="252">
        <v>0.15</v>
      </c>
      <c r="J6" s="144" t="s">
        <v>807</v>
      </c>
      <c r="Q6" s="144" t="s">
        <v>680</v>
      </c>
    </row>
    <row r="7" spans="2:18">
      <c r="B7" s="251" t="s">
        <v>911</v>
      </c>
      <c r="C7" s="251" t="s">
        <v>921</v>
      </c>
      <c r="D7" s="271">
        <v>0.23</v>
      </c>
      <c r="E7" s="271">
        <v>0.38</v>
      </c>
      <c r="F7" s="271">
        <v>0.38</v>
      </c>
      <c r="G7" s="144" t="s">
        <v>681</v>
      </c>
      <c r="I7" s="144" t="s">
        <v>620</v>
      </c>
    </row>
    <row r="8" spans="2:18">
      <c r="B8" s="251" t="s">
        <v>912</v>
      </c>
      <c r="C8" s="251" t="s">
        <v>905</v>
      </c>
      <c r="D8" s="271">
        <v>1.92</v>
      </c>
      <c r="E8" s="271">
        <v>1.1599999999999999</v>
      </c>
      <c r="F8" s="271">
        <v>1.43</v>
      </c>
      <c r="G8" s="144" t="s">
        <v>905</v>
      </c>
    </row>
    <row r="9" spans="2:18">
      <c r="B9" s="251" t="s">
        <v>683</v>
      </c>
      <c r="C9" s="251" t="s">
        <v>905</v>
      </c>
      <c r="D9" s="271"/>
      <c r="E9" s="271">
        <v>12.75</v>
      </c>
      <c r="F9" s="271">
        <v>12.75</v>
      </c>
      <c r="G9" s="144" t="s">
        <v>905</v>
      </c>
    </row>
    <row r="10" spans="2:18">
      <c r="B10" s="251" t="s">
        <v>909</v>
      </c>
      <c r="C10" s="251" t="s">
        <v>905</v>
      </c>
      <c r="D10" s="271"/>
      <c r="E10" s="271">
        <v>4.95</v>
      </c>
      <c r="F10" s="271"/>
      <c r="G10" s="144" t="s">
        <v>905</v>
      </c>
      <c r="I10" s="144" t="s">
        <v>684</v>
      </c>
    </row>
    <row r="11" spans="2:18">
      <c r="B11" s="251" t="s">
        <v>922</v>
      </c>
      <c r="C11" s="251" t="s">
        <v>905</v>
      </c>
      <c r="D11" s="271">
        <v>2.5</v>
      </c>
      <c r="E11" s="271">
        <v>2.5</v>
      </c>
      <c r="F11" s="271">
        <v>2.5</v>
      </c>
      <c r="G11" s="144" t="s">
        <v>905</v>
      </c>
      <c r="I11" s="144" t="s">
        <v>806</v>
      </c>
    </row>
    <row r="12" spans="2:18">
      <c r="B12" s="251" t="s">
        <v>910</v>
      </c>
      <c r="C12" s="251" t="s">
        <v>905</v>
      </c>
      <c r="D12" s="271"/>
      <c r="E12" s="271"/>
      <c r="F12" s="271">
        <v>15</v>
      </c>
      <c r="G12" s="144" t="s">
        <v>905</v>
      </c>
      <c r="I12" s="144" t="s">
        <v>685</v>
      </c>
    </row>
    <row r="13" spans="2:18">
      <c r="B13" s="251" t="s">
        <v>682</v>
      </c>
      <c r="C13" s="251"/>
      <c r="D13" s="272">
        <v>0.95</v>
      </c>
      <c r="E13" s="272">
        <v>0.75</v>
      </c>
      <c r="F13" s="272">
        <v>0.65</v>
      </c>
    </row>
    <row r="14" spans="2:18">
      <c r="B14" s="253"/>
      <c r="C14" s="253"/>
      <c r="D14" s="254"/>
      <c r="E14" s="254"/>
      <c r="F14" s="254"/>
      <c r="G14" s="144" t="s">
        <v>905</v>
      </c>
    </row>
    <row r="15" spans="2:18">
      <c r="B15" s="147" t="s">
        <v>867</v>
      </c>
      <c r="C15" s="147"/>
      <c r="D15" s="273">
        <v>84.77</v>
      </c>
      <c r="E15" s="273">
        <v>37.53</v>
      </c>
      <c r="F15" s="273">
        <v>37.53</v>
      </c>
    </row>
    <row r="16" spans="2:18">
      <c r="B16" s="251" t="s">
        <v>907</v>
      </c>
      <c r="C16" s="251"/>
      <c r="D16" s="256">
        <f>SUMIF($G$4:$G$12,$G$16,D4:D12)</f>
        <v>3.76</v>
      </c>
      <c r="E16" s="256">
        <f>SUMIF($G$4:$G$12,$G$16,E4:E12)</f>
        <v>2.3899999999999997</v>
      </c>
      <c r="F16" s="256">
        <f>SUMIF($G$4:$G$12,$G$16,F4:F12)</f>
        <v>2.76</v>
      </c>
      <c r="G16" s="144" t="s">
        <v>681</v>
      </c>
    </row>
    <row r="17" spans="2:6">
      <c r="B17" s="251" t="s">
        <v>908</v>
      </c>
      <c r="C17" s="251"/>
      <c r="D17" s="255">
        <f>SUMIF($G$4:$G$12,$G$14,D4:D12)</f>
        <v>19.61</v>
      </c>
      <c r="E17" s="255">
        <f t="shared" ref="E17:F17" si="0">SUMIF($G$4:$G$12,$G$14,E4:E12)</f>
        <v>31.15</v>
      </c>
      <c r="F17" s="255">
        <f t="shared" si="0"/>
        <v>41.44</v>
      </c>
    </row>
    <row r="18" spans="2:6">
      <c r="B18" s="257"/>
      <c r="C18" s="257"/>
    </row>
    <row r="33" s="144" customFormat="1" hidden="1"/>
    <row r="34" s="144" customFormat="1" hidden="1"/>
    <row r="35" s="144" customFormat="1" hidden="1"/>
    <row r="36" s="144" customFormat="1" hidden="1"/>
    <row r="37" s="144" customFormat="1" hidden="1"/>
    <row r="38" s="144" customFormat="1" hidden="1"/>
  </sheetData>
  <sheetProtection sheet="1" objects="1" scenarios="1"/>
  <mergeCells count="1">
    <mergeCell ref="B1:F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05B2E-8807-4F27-8103-C0A35709F95C}">
  <sheetPr>
    <pageSetUpPr fitToPage="1"/>
  </sheetPr>
  <dimension ref="A1:Q1228"/>
  <sheetViews>
    <sheetView showGridLines="0" showWhiteSpace="0" zoomScaleNormal="100" workbookViewId="0"/>
  </sheetViews>
  <sheetFormatPr defaultColWidth="0" defaultRowHeight="16.5" zeroHeight="1"/>
  <cols>
    <col min="1" max="1" width="3.125" style="3" customWidth="1"/>
    <col min="2" max="2" width="34.875" style="3" customWidth="1"/>
    <col min="3" max="3" width="20.25" style="3" customWidth="1"/>
    <col min="4" max="5" width="14" style="3" customWidth="1"/>
    <col min="6" max="6" width="12.625" style="3" customWidth="1"/>
    <col min="7" max="7" width="11.75" style="3" customWidth="1"/>
    <col min="8" max="9" width="9" style="3" customWidth="1"/>
    <col min="10" max="10" width="11.625" style="3" customWidth="1"/>
    <col min="11" max="11" width="10.625" style="3" customWidth="1"/>
    <col min="12" max="14" width="9" style="3" customWidth="1"/>
    <col min="15" max="15" width="9.5" style="3" bestFit="1" customWidth="1"/>
    <col min="16" max="16" width="9" style="3" customWidth="1"/>
    <col min="17" max="17" width="3.125" style="3" customWidth="1"/>
    <col min="18" max="16384" width="9" style="3" hidden="1"/>
  </cols>
  <sheetData>
    <row r="1" spans="2:16">
      <c r="F1" s="32"/>
    </row>
    <row r="2" spans="2:16" ht="20.25" customHeight="1">
      <c r="B2" s="299" t="s">
        <v>876</v>
      </c>
      <c r="C2" s="299"/>
      <c r="D2" s="299"/>
      <c r="E2" s="299"/>
      <c r="F2" s="299"/>
      <c r="G2" s="4"/>
    </row>
    <row r="3" spans="2:16" ht="17.25">
      <c r="B3" s="33" t="s">
        <v>687</v>
      </c>
      <c r="C3" s="34"/>
      <c r="D3" s="143" t="s">
        <v>688</v>
      </c>
      <c r="E3" s="34"/>
      <c r="F3" s="36"/>
      <c r="G3" s="37"/>
      <c r="H3" s="38"/>
      <c r="I3" s="39" t="s">
        <v>800</v>
      </c>
      <c r="J3" s="38"/>
      <c r="K3" s="38"/>
      <c r="L3" s="38"/>
      <c r="M3" s="38"/>
      <c r="N3" s="38"/>
      <c r="O3" s="38"/>
      <c r="P3" s="38"/>
    </row>
    <row r="4" spans="2:16" ht="17.25">
      <c r="B4" s="40" t="s">
        <v>370</v>
      </c>
      <c r="C4" s="40" t="s">
        <v>556</v>
      </c>
      <c r="D4" s="41" t="s">
        <v>25</v>
      </c>
      <c r="E4" s="41" t="s">
        <v>854</v>
      </c>
      <c r="F4" s="41" t="s">
        <v>855</v>
      </c>
      <c r="G4" s="37"/>
      <c r="H4" s="42"/>
      <c r="I4" s="300" t="s">
        <v>6</v>
      </c>
      <c r="J4" s="300"/>
      <c r="K4" s="300"/>
      <c r="L4" s="300"/>
      <c r="M4" s="300"/>
      <c r="N4" s="300"/>
      <c r="O4" s="300"/>
      <c r="P4" s="300"/>
    </row>
    <row r="5" spans="2:16" ht="16.5" customHeight="1">
      <c r="B5" s="43" t="s">
        <v>20</v>
      </c>
      <c r="C5" s="187" t="s">
        <v>21</v>
      </c>
      <c r="D5" s="44">
        <v>232</v>
      </c>
      <c r="E5" s="77">
        <v>4.33</v>
      </c>
      <c r="F5" s="46">
        <f>D5*E5</f>
        <v>1004.5600000000001</v>
      </c>
      <c r="G5" s="47" t="s">
        <v>40</v>
      </c>
      <c r="H5" s="301" t="s">
        <v>799</v>
      </c>
      <c r="I5" s="48"/>
      <c r="J5" s="49">
        <f>0.7*$D$5</f>
        <v>162.39999999999998</v>
      </c>
      <c r="K5" s="49">
        <f>0.8*$D$5</f>
        <v>185.60000000000002</v>
      </c>
      <c r="L5" s="49">
        <f>0.9*$D$5</f>
        <v>208.8</v>
      </c>
      <c r="M5" s="50">
        <f>1*$D$5</f>
        <v>232</v>
      </c>
      <c r="N5" s="49">
        <f>1.1*$D$5</f>
        <v>255.20000000000002</v>
      </c>
      <c r="O5" s="49">
        <f>1.2*$D$5</f>
        <v>278.39999999999998</v>
      </c>
      <c r="P5" s="51">
        <f>1.3*$D$5</f>
        <v>301.60000000000002</v>
      </c>
    </row>
    <row r="6" spans="2:16" ht="17.25">
      <c r="B6" s="43" t="s">
        <v>22</v>
      </c>
      <c r="C6" s="52"/>
      <c r="D6" s="53"/>
      <c r="E6" s="58"/>
      <c r="F6" s="46">
        <f>D6*E6</f>
        <v>0</v>
      </c>
      <c r="G6" s="54"/>
      <c r="H6" s="301"/>
      <c r="I6" s="55">
        <f>0.7*$E$5</f>
        <v>3.0309999999999997</v>
      </c>
      <c r="J6" s="56">
        <f t="shared" ref="J6:P12" si="0">(J$5*$I6+SUM($F$6:$F$8)-((J$5*$I6+SUM($F$6:$F$8))/$F$9*$F$37)-($F$24*J$5/$D$5)-SUM($F$12:$F$13,$F$19,$F$23,$F$25:$F$30,$F$32:$F$33,$F$38))</f>
        <v>-430.30520021376333</v>
      </c>
      <c r="K6" s="56">
        <f t="shared" si="0"/>
        <v>-367.19238421376315</v>
      </c>
      <c r="L6" s="56">
        <f t="shared" si="0"/>
        <v>-304.0795682137632</v>
      </c>
      <c r="M6" s="56">
        <f t="shared" si="0"/>
        <v>-240.96675221376324</v>
      </c>
      <c r="N6" s="56">
        <f t="shared" si="0"/>
        <v>-177.85393621376318</v>
      </c>
      <c r="O6" s="56">
        <f t="shared" si="0"/>
        <v>-114.74112021376334</v>
      </c>
      <c r="P6" s="56">
        <f t="shared" si="0"/>
        <v>-51.628304213763158</v>
      </c>
    </row>
    <row r="7" spans="2:16" ht="17.25">
      <c r="B7" s="57" t="s">
        <v>23</v>
      </c>
      <c r="C7" s="34"/>
      <c r="D7" s="57"/>
      <c r="E7" s="34"/>
      <c r="F7" s="58">
        <v>25</v>
      </c>
      <c r="G7" s="54"/>
      <c r="H7" s="301"/>
      <c r="I7" s="55">
        <f>0.8*$E$5</f>
        <v>3.4640000000000004</v>
      </c>
      <c r="J7" s="56">
        <f t="shared" si="0"/>
        <v>-361.39238421376319</v>
      </c>
      <c r="K7" s="56">
        <f t="shared" si="0"/>
        <v>-288.43488021376299</v>
      </c>
      <c r="L7" s="56">
        <f t="shared" si="0"/>
        <v>-215.47737621376302</v>
      </c>
      <c r="M7" s="56">
        <f t="shared" si="0"/>
        <v>-142.51987221376294</v>
      </c>
      <c r="N7" s="56">
        <f t="shared" si="0"/>
        <v>-69.562368213762852</v>
      </c>
      <c r="O7" s="56">
        <f t="shared" si="0"/>
        <v>3.3951357862368923</v>
      </c>
      <c r="P7" s="56">
        <f t="shared" si="0"/>
        <v>76.352639786237319</v>
      </c>
    </row>
    <row r="8" spans="2:16" ht="17.25">
      <c r="B8" s="57" t="s">
        <v>24</v>
      </c>
      <c r="C8" s="34"/>
      <c r="D8" s="57"/>
      <c r="E8" s="34"/>
      <c r="F8" s="59">
        <v>0</v>
      </c>
      <c r="G8" s="54"/>
      <c r="H8" s="301"/>
      <c r="I8" s="55">
        <f>0.9*$E$5</f>
        <v>3.8970000000000002</v>
      </c>
      <c r="J8" s="56">
        <f t="shared" si="0"/>
        <v>-292.47956821376317</v>
      </c>
      <c r="K8" s="56">
        <f t="shared" si="0"/>
        <v>-209.67737621376295</v>
      </c>
      <c r="L8" s="56">
        <f t="shared" si="0"/>
        <v>-126.87518421376308</v>
      </c>
      <c r="M8" s="56">
        <f t="shared" si="0"/>
        <v>-44.072992213763087</v>
      </c>
      <c r="N8" s="56">
        <f t="shared" si="0"/>
        <v>38.729199786237018</v>
      </c>
      <c r="O8" s="56">
        <f t="shared" si="0"/>
        <v>121.5313917862369</v>
      </c>
      <c r="P8" s="56">
        <f t="shared" si="0"/>
        <v>204.33358378623711</v>
      </c>
    </row>
    <row r="9" spans="2:16" ht="17.25">
      <c r="B9" s="60" t="s">
        <v>373</v>
      </c>
      <c r="C9" s="34"/>
      <c r="D9" s="61"/>
      <c r="E9" s="61"/>
      <c r="F9" s="62">
        <f>SUM(F5:F8)</f>
        <v>1029.56</v>
      </c>
      <c r="G9" s="63"/>
      <c r="H9" s="301"/>
      <c r="I9" s="64">
        <f>1*$E$5</f>
        <v>4.33</v>
      </c>
      <c r="J9" s="56">
        <f t="shared" si="0"/>
        <v>-223.56675221376327</v>
      </c>
      <c r="K9" s="56">
        <f t="shared" si="0"/>
        <v>-130.91987221376291</v>
      </c>
      <c r="L9" s="56">
        <f t="shared" si="0"/>
        <v>-38.272992213763132</v>
      </c>
      <c r="M9" s="65">
        <f>(M$5*$I9+SUM($F$6:$F$8)-((M$5*$I9+SUM($F$6:$F$8))/$F$9*$F$37)-($F$24*M$5/$D$5)-SUM($F$12:$F$13,$F$19,$F$23,$F$25:$F$30,$F$32:$F$33,$F$38))</f>
        <v>54.373887786236878</v>
      </c>
      <c r="N9" s="56">
        <f t="shared" si="0"/>
        <v>147.020767786237</v>
      </c>
      <c r="O9" s="56">
        <f t="shared" si="0"/>
        <v>239.66764778623701</v>
      </c>
      <c r="P9" s="56">
        <f t="shared" si="0"/>
        <v>332.31452778623679</v>
      </c>
    </row>
    <row r="10" spans="2:16" ht="17.25">
      <c r="B10" s="60"/>
      <c r="C10" s="34"/>
      <c r="D10" s="61"/>
      <c r="E10" s="61"/>
      <c r="F10" s="66"/>
      <c r="G10" s="63"/>
      <c r="H10" s="301"/>
      <c r="I10" s="55">
        <f>1.1*$E$5</f>
        <v>4.7630000000000008</v>
      </c>
      <c r="J10" s="56">
        <f t="shared" si="0"/>
        <v>-154.65393621376313</v>
      </c>
      <c r="K10" s="56">
        <f t="shared" si="0"/>
        <v>-52.162368213762761</v>
      </c>
      <c r="L10" s="56">
        <f t="shared" si="0"/>
        <v>50.329199786237041</v>
      </c>
      <c r="M10" s="56">
        <f t="shared" si="0"/>
        <v>152.82076778623696</v>
      </c>
      <c r="N10" s="56">
        <f t="shared" si="0"/>
        <v>255.31233578623733</v>
      </c>
      <c r="O10" s="56">
        <f t="shared" si="0"/>
        <v>357.80390378623724</v>
      </c>
      <c r="P10" s="56">
        <f t="shared" si="0"/>
        <v>460.29547178623693</v>
      </c>
    </row>
    <row r="11" spans="2:16" ht="17.25">
      <c r="B11" s="67" t="s">
        <v>856</v>
      </c>
      <c r="C11" s="40" t="s">
        <v>556</v>
      </c>
      <c r="D11" s="41" t="s">
        <v>25</v>
      </c>
      <c r="E11" s="41" t="s">
        <v>854</v>
      </c>
      <c r="F11" s="41" t="s">
        <v>855</v>
      </c>
      <c r="G11" s="63"/>
      <c r="H11" s="301"/>
      <c r="I11" s="55">
        <f>1.2*$E$5</f>
        <v>5.1959999999999997</v>
      </c>
      <c r="J11" s="56">
        <f t="shared" si="0"/>
        <v>-85.741120213763338</v>
      </c>
      <c r="K11" s="56">
        <f t="shared" si="0"/>
        <v>26.595135786236938</v>
      </c>
      <c r="L11" s="56">
        <f t="shared" si="0"/>
        <v>138.93139178623687</v>
      </c>
      <c r="M11" s="56">
        <f t="shared" si="0"/>
        <v>251.26764778623692</v>
      </c>
      <c r="N11" s="56">
        <f t="shared" si="0"/>
        <v>363.60390378623697</v>
      </c>
      <c r="O11" s="56">
        <f t="shared" si="0"/>
        <v>475.94015978623679</v>
      </c>
      <c r="P11" s="56">
        <f t="shared" si="0"/>
        <v>588.27641578623684</v>
      </c>
    </row>
    <row r="12" spans="2:16" ht="17.25">
      <c r="B12" s="57" t="s">
        <v>14</v>
      </c>
      <c r="C12" s="7" t="s">
        <v>857</v>
      </c>
      <c r="D12" s="68">
        <v>36000</v>
      </c>
      <c r="E12" s="69">
        <v>265</v>
      </c>
      <c r="F12" s="46">
        <f>E12*D12/H16</f>
        <v>119.25</v>
      </c>
      <c r="G12" s="63"/>
      <c r="H12" s="301"/>
      <c r="I12" s="70">
        <f>1.3*$E$5</f>
        <v>5.6290000000000004</v>
      </c>
      <c r="J12" s="56">
        <f t="shared" si="0"/>
        <v>-16.828304213763204</v>
      </c>
      <c r="K12" s="56">
        <f t="shared" si="0"/>
        <v>105.35263978623732</v>
      </c>
      <c r="L12" s="56">
        <f t="shared" si="0"/>
        <v>227.53358378623716</v>
      </c>
      <c r="M12" s="56">
        <f t="shared" si="0"/>
        <v>349.71452778623689</v>
      </c>
      <c r="N12" s="56">
        <f t="shared" si="0"/>
        <v>471.89547178623707</v>
      </c>
      <c r="O12" s="56">
        <f t="shared" si="0"/>
        <v>594.07641578623679</v>
      </c>
      <c r="P12" s="56">
        <f t="shared" si="0"/>
        <v>716.25735978623698</v>
      </c>
    </row>
    <row r="13" spans="2:16">
      <c r="B13" s="57" t="s">
        <v>26</v>
      </c>
      <c r="C13" s="7"/>
      <c r="D13" s="34"/>
      <c r="E13" s="71"/>
      <c r="F13" s="46">
        <f>SUMPRODUCT(D14:D18,E14:E18)+F17</f>
        <v>303.14999999999998</v>
      </c>
      <c r="G13" s="63"/>
      <c r="H13" s="72"/>
    </row>
    <row r="14" spans="2:16">
      <c r="B14" s="73" t="s">
        <v>27</v>
      </c>
      <c r="C14" s="7" t="s">
        <v>686</v>
      </c>
      <c r="D14" s="45">
        <v>250</v>
      </c>
      <c r="E14" s="71">
        <f>'Input prices'!D4</f>
        <v>0.7</v>
      </c>
      <c r="F14" s="46"/>
      <c r="G14" s="63"/>
      <c r="H14" s="72"/>
    </row>
    <row r="15" spans="2:16">
      <c r="B15" s="73" t="s">
        <v>28</v>
      </c>
      <c r="C15" s="7" t="s">
        <v>686</v>
      </c>
      <c r="D15" s="45">
        <v>95</v>
      </c>
      <c r="E15" s="71">
        <f>'Input prices'!D5</f>
        <v>0.73</v>
      </c>
      <c r="F15" s="46"/>
      <c r="G15" s="63"/>
      <c r="H15" s="74" t="s">
        <v>858</v>
      </c>
      <c r="I15"/>
      <c r="J15" s="75"/>
    </row>
    <row r="16" spans="2:16">
      <c r="B16" s="73" t="s">
        <v>8</v>
      </c>
      <c r="C16" s="7" t="s">
        <v>686</v>
      </c>
      <c r="D16" s="45">
        <v>65</v>
      </c>
      <c r="E16" s="71">
        <f>'Input prices'!D6</f>
        <v>0.42</v>
      </c>
      <c r="F16" s="46"/>
      <c r="G16" s="63"/>
      <c r="H16" s="74">
        <v>80000</v>
      </c>
      <c r="I16"/>
      <c r="K16" s="76"/>
    </row>
    <row r="17" spans="2:11">
      <c r="B17" s="73" t="s">
        <v>690</v>
      </c>
      <c r="C17" s="7"/>
      <c r="D17" s="34"/>
      <c r="E17" s="71"/>
      <c r="F17" s="77">
        <v>10.5</v>
      </c>
      <c r="G17" s="63"/>
      <c r="H17" s="72"/>
      <c r="I17" s="1"/>
      <c r="K17" s="76"/>
    </row>
    <row r="18" spans="2:11">
      <c r="B18" s="73" t="s">
        <v>9</v>
      </c>
      <c r="C18" s="7" t="s">
        <v>859</v>
      </c>
      <c r="D18" s="45">
        <v>0.6</v>
      </c>
      <c r="E18" s="71">
        <f>'Input prices'!D7</f>
        <v>35</v>
      </c>
      <c r="F18" s="78"/>
      <c r="G18" s="63"/>
      <c r="H18" s="72"/>
      <c r="I18" s="9"/>
      <c r="K18" s="79"/>
    </row>
    <row r="19" spans="2:11">
      <c r="B19" s="57" t="s">
        <v>29</v>
      </c>
      <c r="C19" s="7"/>
      <c r="D19" s="34"/>
      <c r="E19" s="71"/>
      <c r="F19" s="46">
        <f>SUMPRODUCT(D20:D22,E20:E22)</f>
        <v>101</v>
      </c>
      <c r="G19" s="37"/>
      <c r="H19" s="72"/>
      <c r="I19" s="9"/>
      <c r="K19" s="79"/>
    </row>
    <row r="20" spans="2:11">
      <c r="B20" s="73" t="s">
        <v>15</v>
      </c>
      <c r="C20" s="7" t="s">
        <v>860</v>
      </c>
      <c r="D20" s="45">
        <v>2</v>
      </c>
      <c r="E20" s="69">
        <v>35</v>
      </c>
      <c r="F20" s="46"/>
      <c r="G20" s="37"/>
      <c r="H20" s="72"/>
      <c r="I20" s="9"/>
      <c r="K20" s="79"/>
    </row>
    <row r="21" spans="2:11">
      <c r="B21" s="73" t="s">
        <v>691</v>
      </c>
      <c r="C21" s="7" t="s">
        <v>860</v>
      </c>
      <c r="D21" s="45">
        <v>1</v>
      </c>
      <c r="E21" s="69">
        <v>6</v>
      </c>
      <c r="F21" s="46"/>
      <c r="G21" s="37"/>
      <c r="H21" s="72"/>
      <c r="I21" s="9"/>
      <c r="K21" s="79"/>
    </row>
    <row r="22" spans="2:11">
      <c r="B22" s="73" t="s">
        <v>692</v>
      </c>
      <c r="C22" s="7" t="s">
        <v>860</v>
      </c>
      <c r="D22" s="45">
        <v>1</v>
      </c>
      <c r="E22" s="69">
        <v>25</v>
      </c>
      <c r="F22" s="46"/>
      <c r="G22" s="63"/>
      <c r="H22" s="72"/>
      <c r="I22" s="9"/>
      <c r="K22" s="79"/>
    </row>
    <row r="23" spans="2:11">
      <c r="B23" s="57" t="s">
        <v>359</v>
      </c>
      <c r="C23" s="7" t="s">
        <v>861</v>
      </c>
      <c r="D23" s="45">
        <v>18</v>
      </c>
      <c r="E23" s="71">
        <f>IFERROR(HLOOKUP($D$3,'Irrigation costs'!$D$2:$F$17,15,FALSE),0)</f>
        <v>2.3899999999999997</v>
      </c>
      <c r="F23" s="46">
        <f>D23*E23</f>
        <v>43.019999999999996</v>
      </c>
      <c r="G23" s="63"/>
      <c r="H23" s="72"/>
      <c r="I23" s="9"/>
      <c r="K23" s="80"/>
    </row>
    <row r="24" spans="2:11">
      <c r="B24" s="57" t="s">
        <v>755</v>
      </c>
      <c r="C24" s="7" t="s">
        <v>862</v>
      </c>
      <c r="D24" s="81">
        <v>0.05</v>
      </c>
      <c r="E24" s="69">
        <v>0.05</v>
      </c>
      <c r="F24" s="46">
        <f>IFERROR(D24*100*E24*D5,0)</f>
        <v>58</v>
      </c>
      <c r="G24" s="63"/>
      <c r="H24" s="72"/>
      <c r="I24" s="9"/>
      <c r="K24" s="79"/>
    </row>
    <row r="25" spans="2:11">
      <c r="B25" s="57" t="s">
        <v>30</v>
      </c>
      <c r="C25" s="7"/>
      <c r="D25" s="34"/>
      <c r="E25" s="71"/>
      <c r="F25" s="58">
        <v>8.5</v>
      </c>
      <c r="G25" s="63"/>
      <c r="H25" s="72"/>
      <c r="I25" s="1"/>
      <c r="K25" s="76"/>
    </row>
    <row r="26" spans="2:11">
      <c r="B26" s="57" t="s">
        <v>31</v>
      </c>
      <c r="C26" s="7"/>
      <c r="D26" s="34"/>
      <c r="E26" s="71"/>
      <c r="F26" s="58">
        <v>28</v>
      </c>
      <c r="G26" s="63"/>
      <c r="H26" s="72"/>
      <c r="I26" s="9"/>
      <c r="K26" s="82"/>
    </row>
    <row r="27" spans="2:11">
      <c r="B27" s="57" t="s">
        <v>32</v>
      </c>
      <c r="C27" s="7" t="s">
        <v>654</v>
      </c>
      <c r="D27" s="34"/>
      <c r="E27" s="71"/>
      <c r="F27" s="83">
        <f>G57</f>
        <v>27.341999999999999</v>
      </c>
      <c r="G27" s="63"/>
      <c r="H27" s="72"/>
      <c r="I27" s="9"/>
      <c r="K27" s="82"/>
    </row>
    <row r="28" spans="2:11">
      <c r="B28" s="57" t="s">
        <v>808</v>
      </c>
      <c r="C28" s="7" t="s">
        <v>863</v>
      </c>
      <c r="D28" s="34">
        <f>F73</f>
        <v>0.99607788671023978</v>
      </c>
      <c r="E28" s="71">
        <f>'Input prices'!D8</f>
        <v>22.5</v>
      </c>
      <c r="F28" s="83">
        <f>E28*D28</f>
        <v>22.411752450980394</v>
      </c>
      <c r="G28" s="63"/>
      <c r="H28" s="72"/>
      <c r="I28" s="9"/>
      <c r="K28" s="82"/>
    </row>
    <row r="29" spans="2:11">
      <c r="B29" s="57" t="s">
        <v>702</v>
      </c>
      <c r="C29" s="7" t="s">
        <v>864</v>
      </c>
      <c r="D29" s="34">
        <f>E73</f>
        <v>9.359103104575162</v>
      </c>
      <c r="E29" s="71">
        <f>'Input prices'!D9</f>
        <v>2.9</v>
      </c>
      <c r="F29" s="83">
        <f>D29*E29</f>
        <v>27.141399003267971</v>
      </c>
      <c r="G29" s="63"/>
      <c r="H29" s="72"/>
      <c r="I29" s="9"/>
      <c r="K29" s="76"/>
    </row>
    <row r="30" spans="2:11">
      <c r="B30" s="57" t="s">
        <v>33</v>
      </c>
      <c r="C30" s="84" t="s">
        <v>654</v>
      </c>
      <c r="D30" s="85"/>
      <c r="E30" s="34"/>
      <c r="F30" s="83">
        <f>G73-F29-F28</f>
        <v>47.712646670434289</v>
      </c>
      <c r="G30" s="63"/>
      <c r="H30" s="72"/>
      <c r="I30" s="9"/>
      <c r="K30" s="86"/>
    </row>
    <row r="31" spans="2:11">
      <c r="B31" s="57" t="s">
        <v>366</v>
      </c>
      <c r="C31" s="84" t="s">
        <v>865</v>
      </c>
      <c r="D31" s="197">
        <v>0.03</v>
      </c>
      <c r="E31" s="34"/>
      <c r="F31" s="83">
        <f>F9*D31</f>
        <v>30.886799999999997</v>
      </c>
      <c r="G31" s="63"/>
      <c r="H31" s="72"/>
      <c r="I31" s="9"/>
      <c r="K31" s="87"/>
    </row>
    <row r="32" spans="2:11">
      <c r="B32" s="57" t="s">
        <v>34</v>
      </c>
      <c r="C32" s="7" t="s">
        <v>654</v>
      </c>
      <c r="D32" s="85"/>
      <c r="E32" s="34"/>
      <c r="F32" s="58">
        <v>0</v>
      </c>
      <c r="G32" s="63"/>
      <c r="H32" s="72"/>
    </row>
    <row r="33" spans="2:8">
      <c r="B33" s="57" t="s">
        <v>11</v>
      </c>
      <c r="C33" s="84" t="s">
        <v>866</v>
      </c>
      <c r="D33" s="88">
        <f>SUM(F12:F13,F19,F24:F32)/2</f>
        <v>386.69729906234136</v>
      </c>
      <c r="E33" s="89">
        <f>'Input prices'!D10</f>
        <v>7.2499999999999995E-2</v>
      </c>
      <c r="F33" s="90">
        <f>E33*D33</f>
        <v>28.035554182019748</v>
      </c>
      <c r="G33" s="91"/>
      <c r="H33" s="72"/>
    </row>
    <row r="34" spans="2:8">
      <c r="B34" s="60" t="s">
        <v>372</v>
      </c>
      <c r="C34" s="92"/>
      <c r="D34" s="61"/>
      <c r="E34" s="34"/>
      <c r="F34" s="62">
        <f>SUM(F12:F13,F19,F23:F33)</f>
        <v>844.45015230670242</v>
      </c>
      <c r="G34" s="63"/>
      <c r="H34" s="72"/>
    </row>
    <row r="35" spans="2:8">
      <c r="B35" s="36"/>
      <c r="C35" s="92"/>
      <c r="D35" s="61"/>
      <c r="E35" s="34"/>
      <c r="F35" s="36"/>
      <c r="G35" s="63"/>
      <c r="H35" s="72"/>
    </row>
    <row r="36" spans="2:8" ht="17.25">
      <c r="B36" s="67" t="s">
        <v>867</v>
      </c>
      <c r="C36" s="40" t="s">
        <v>556</v>
      </c>
      <c r="D36" s="41" t="s">
        <v>25</v>
      </c>
      <c r="E36" s="41" t="s">
        <v>854</v>
      </c>
      <c r="F36" s="41" t="s">
        <v>855</v>
      </c>
      <c r="G36" s="63"/>
      <c r="H36" s="72"/>
    </row>
    <row r="37" spans="2:8">
      <c r="B37" s="57" t="s">
        <v>18</v>
      </c>
      <c r="C37" s="84" t="s">
        <v>865</v>
      </c>
      <c r="D37" s="197">
        <v>0.02</v>
      </c>
      <c r="E37" s="34"/>
      <c r="F37" s="46">
        <f>D37*F9</f>
        <v>20.591200000000001</v>
      </c>
      <c r="G37" s="63"/>
      <c r="H37" s="72"/>
    </row>
    <row r="38" spans="2:8">
      <c r="B38" s="57" t="s">
        <v>376</v>
      </c>
      <c r="C38" s="84" t="s">
        <v>654</v>
      </c>
      <c r="D38" s="61"/>
      <c r="E38" s="34"/>
      <c r="F38" s="46">
        <f>H73+HLOOKUP(D3,'Irrigation costs'!$D$2:$G$17,14, FALSE)</f>
        <v>141.03155990706063</v>
      </c>
      <c r="G38" s="63"/>
      <c r="H38" s="72"/>
    </row>
    <row r="39" spans="2:8">
      <c r="B39" s="57" t="s">
        <v>35</v>
      </c>
      <c r="C39" s="84" t="s">
        <v>654</v>
      </c>
      <c r="D39" s="61"/>
      <c r="E39" s="34"/>
      <c r="F39" s="93">
        <v>225</v>
      </c>
      <c r="G39" s="91"/>
      <c r="H39" s="72"/>
    </row>
    <row r="40" spans="2:8">
      <c r="B40" s="60" t="s">
        <v>868</v>
      </c>
      <c r="C40" s="92"/>
      <c r="D40" s="61"/>
      <c r="E40" s="34"/>
      <c r="F40" s="62">
        <f>SUM(F37:F39)</f>
        <v>386.62275990706064</v>
      </c>
      <c r="G40" s="63"/>
      <c r="H40" s="72"/>
    </row>
    <row r="41" spans="2:8">
      <c r="B41" s="36"/>
      <c r="C41" s="34"/>
      <c r="D41" s="61"/>
      <c r="E41" s="34"/>
      <c r="F41" s="46"/>
      <c r="G41" s="91"/>
      <c r="H41" s="72"/>
    </row>
    <row r="42" spans="2:8" ht="15" customHeight="1">
      <c r="B42" s="60" t="s">
        <v>375</v>
      </c>
      <c r="C42" s="34"/>
      <c r="D42" s="61"/>
      <c r="E42" s="61"/>
      <c r="F42" s="62">
        <f>F34+F40</f>
        <v>1231.0729122137632</v>
      </c>
      <c r="G42" s="37"/>
      <c r="H42" s="72"/>
    </row>
    <row r="43" spans="2:8">
      <c r="B43" s="94"/>
      <c r="C43" s="95"/>
      <c r="D43" s="96"/>
      <c r="E43" s="95"/>
      <c r="F43" s="97"/>
      <c r="G43" s="63"/>
      <c r="H43" s="72"/>
    </row>
    <row r="44" spans="2:8">
      <c r="B44" s="98" t="s">
        <v>367</v>
      </c>
      <c r="C44" s="34"/>
      <c r="D44" s="61"/>
      <c r="E44" s="34"/>
      <c r="F44" s="62">
        <f>F9-F34</f>
        <v>185.10984769329752</v>
      </c>
      <c r="G44" s="63"/>
      <c r="H44" s="72"/>
    </row>
    <row r="45" spans="2:8">
      <c r="B45" s="98" t="s">
        <v>368</v>
      </c>
      <c r="C45" s="34"/>
      <c r="D45" s="61"/>
      <c r="E45" s="34"/>
      <c r="F45" s="62">
        <f>F9-F42</f>
        <v>-201.51291221376323</v>
      </c>
      <c r="G45" s="37"/>
      <c r="H45" s="72"/>
    </row>
    <row r="46" spans="2:8">
      <c r="B46" s="99" t="s">
        <v>369</v>
      </c>
      <c r="C46" s="100"/>
      <c r="D46" s="101"/>
      <c r="E46" s="100"/>
      <c r="F46" s="102">
        <f>F9-F42+F39+F31</f>
        <v>54.373887786236764</v>
      </c>
      <c r="G46" s="63"/>
      <c r="H46" s="72"/>
    </row>
    <row r="47" spans="2:8">
      <c r="B47" s="36"/>
      <c r="C47" s="34"/>
      <c r="D47" s="34" t="s">
        <v>36</v>
      </c>
      <c r="E47" s="34"/>
      <c r="F47" s="46">
        <f>F34/D5</f>
        <v>3.6398713461495795</v>
      </c>
      <c r="G47" s="63"/>
      <c r="H47" s="72"/>
    </row>
    <row r="48" spans="2:8">
      <c r="B48" s="36"/>
      <c r="C48" s="34"/>
      <c r="D48" s="34" t="s">
        <v>37</v>
      </c>
      <c r="E48" s="34"/>
      <c r="F48" s="46">
        <f>F40/D5</f>
        <v>1.6664774133925027</v>
      </c>
      <c r="G48" s="63"/>
      <c r="H48" s="72"/>
    </row>
    <row r="49" spans="2:9">
      <c r="B49" s="103"/>
      <c r="C49" s="100"/>
      <c r="D49" s="100" t="s">
        <v>38</v>
      </c>
      <c r="E49" s="100"/>
      <c r="F49" s="90">
        <f>F42/D5</f>
        <v>5.3063487595420824</v>
      </c>
      <c r="G49" s="63"/>
      <c r="H49" s="72"/>
    </row>
    <row r="50" spans="2:9">
      <c r="B50" s="37"/>
      <c r="C50" s="63"/>
      <c r="D50" s="104"/>
      <c r="E50" s="63"/>
      <c r="F50" s="37"/>
      <c r="G50" s="63"/>
      <c r="H50" s="72"/>
    </row>
    <row r="51" spans="2:9">
      <c r="B51" s="302" t="s">
        <v>869</v>
      </c>
      <c r="C51" s="302"/>
      <c r="D51" s="302"/>
      <c r="E51" s="302"/>
      <c r="F51" s="302"/>
      <c r="G51" s="106"/>
      <c r="H51" s="72"/>
    </row>
    <row r="52" spans="2:9">
      <c r="B52" s="107" t="s">
        <v>560</v>
      </c>
      <c r="C52" s="108" t="s">
        <v>561</v>
      </c>
      <c r="D52" s="108" t="s">
        <v>556</v>
      </c>
      <c r="E52" s="108" t="s">
        <v>754</v>
      </c>
      <c r="F52" s="108" t="s">
        <v>10</v>
      </c>
      <c r="G52" s="109" t="s">
        <v>698</v>
      </c>
      <c r="H52" s="72"/>
    </row>
    <row r="53" spans="2:9">
      <c r="B53" s="110" t="s">
        <v>563</v>
      </c>
      <c r="C53" s="111">
        <f>IF(ISBLANK($B53),"",VLOOKUP($B53,'Machinery Input Tables'!$C$133:$F$184,2,FALSE))</f>
        <v>7.3709999999999996</v>
      </c>
      <c r="D53" s="111" t="str">
        <f>IF(ISBLANK($B53),"",VLOOKUP($B53,'Machinery Input Tables'!$C$133:$F$184,3,FALSE))</f>
        <v>per acre</v>
      </c>
      <c r="E53" s="112"/>
      <c r="F53" s="110">
        <v>2</v>
      </c>
      <c r="G53" s="113">
        <f>IFERROR(C53*F53*IF(D53="per acre",1,E53),"-")</f>
        <v>14.741999999999999</v>
      </c>
      <c r="H53" s="72"/>
    </row>
    <row r="54" spans="2:9">
      <c r="B54" s="110" t="s">
        <v>700</v>
      </c>
      <c r="C54" s="111">
        <f>IF(ISBLANK($B54),"",VLOOKUP($B54,'Machinery Input Tables'!$C$133:$F$184,2,FALSE))</f>
        <v>12.600000000000001</v>
      </c>
      <c r="D54" s="111" t="str">
        <f>IF(ISBLANK($B54),"",VLOOKUP($B54,'Machinery Input Tables'!$C$133:$F$184,3,FALSE))</f>
        <v>per acre</v>
      </c>
      <c r="E54" s="112"/>
      <c r="F54" s="110">
        <v>1</v>
      </c>
      <c r="G54" s="113">
        <f t="shared" ref="G54:G56" si="1">IFERROR(C54*F54*IF(D54="per acre",1,E54),"-")</f>
        <v>12.600000000000001</v>
      </c>
      <c r="H54" s="72"/>
    </row>
    <row r="55" spans="2:9">
      <c r="B55" s="114"/>
      <c r="C55" s="111" t="str">
        <f>IF(ISBLANK($B55),"",VLOOKUP($B55,'Machinery Input Tables'!$C$133:$F$184,2,FALSE))</f>
        <v/>
      </c>
      <c r="D55" s="111" t="str">
        <f>IF(ISBLANK($B55),"",VLOOKUP($B55,'Machinery Input Tables'!$C$133:$F$184,3,FALSE))</f>
        <v/>
      </c>
      <c r="E55" s="114"/>
      <c r="F55" s="114"/>
      <c r="G55" s="113" t="str">
        <f t="shared" si="1"/>
        <v>-</v>
      </c>
      <c r="H55" s="72"/>
    </row>
    <row r="56" spans="2:9">
      <c r="B56" s="115"/>
      <c r="C56" s="116" t="str">
        <f>IF(ISBLANK($B56),"",VLOOKUP($B56,'Machinery Input Tables'!$C$133:$F$184,2,FALSE))</f>
        <v/>
      </c>
      <c r="D56" s="117" t="str">
        <f>IF(ISBLANK($B56),"",VLOOKUP($B56,'Machinery Input Tables'!$C$133:$F$184,3,FALSE))</f>
        <v/>
      </c>
      <c r="E56" s="115"/>
      <c r="F56" s="115"/>
      <c r="G56" s="118" t="str">
        <f t="shared" si="1"/>
        <v>-</v>
      </c>
      <c r="H56" s="72"/>
    </row>
    <row r="57" spans="2:9">
      <c r="B57" s="119" t="s">
        <v>699</v>
      </c>
      <c r="C57" s="120"/>
      <c r="D57" s="119"/>
      <c r="E57" s="120"/>
      <c r="F57" s="120"/>
      <c r="G57" s="121">
        <f>SUM(G53:G56)</f>
        <v>27.341999999999999</v>
      </c>
      <c r="H57" s="72"/>
    </row>
    <row r="58" spans="2:9" s="6" customFormat="1" ht="17.25">
      <c r="B58" s="302" t="s">
        <v>870</v>
      </c>
      <c r="C58" s="302"/>
      <c r="D58" s="302"/>
      <c r="E58" s="302"/>
      <c r="F58" s="302"/>
      <c r="G58" s="302"/>
      <c r="H58" s="302"/>
      <c r="I58" s="302"/>
    </row>
    <row r="59" spans="2:9">
      <c r="B59" s="303" t="s">
        <v>497</v>
      </c>
      <c r="C59" s="305" t="s">
        <v>498</v>
      </c>
      <c r="D59" s="123" t="s">
        <v>871</v>
      </c>
      <c r="E59" s="305" t="s">
        <v>499</v>
      </c>
      <c r="F59" s="305" t="s">
        <v>500</v>
      </c>
      <c r="G59" s="122" t="s">
        <v>501</v>
      </c>
      <c r="H59" s="122" t="s">
        <v>502</v>
      </c>
      <c r="I59" s="307" t="s">
        <v>503</v>
      </c>
    </row>
    <row r="60" spans="2:9">
      <c r="B60" s="304"/>
      <c r="C60" s="306"/>
      <c r="D60" s="125" t="s">
        <v>872</v>
      </c>
      <c r="E60" s="306"/>
      <c r="F60" s="306"/>
      <c r="G60" s="124" t="s">
        <v>516</v>
      </c>
      <c r="H60" s="124" t="s">
        <v>516</v>
      </c>
      <c r="I60" s="308"/>
    </row>
    <row r="61" spans="2:9">
      <c r="B61" s="126"/>
      <c r="C61" s="127" t="s">
        <v>873</v>
      </c>
      <c r="D61" s="128" t="s">
        <v>522</v>
      </c>
      <c r="E61" s="128" t="s">
        <v>519</v>
      </c>
      <c r="F61" s="128" t="s">
        <v>520</v>
      </c>
      <c r="G61" s="128" t="s">
        <v>521</v>
      </c>
      <c r="H61" s="128" t="s">
        <v>521</v>
      </c>
      <c r="I61" s="128" t="s">
        <v>523</v>
      </c>
    </row>
    <row r="62" spans="2:9">
      <c r="B62" s="129" t="s">
        <v>840</v>
      </c>
      <c r="C62" s="129" t="s">
        <v>649</v>
      </c>
      <c r="D62" s="130">
        <v>0.33</v>
      </c>
      <c r="E62" s="131">
        <f>IFERROR(IF(ISBLANK(C62),"",IF(OR(ISBLANK(B62),IFERROR(VLOOKUP(B62,'Machinery Input Tables'!$B$6:$AF$121,13,FALSE),"")='Machinery Input Tables'!$N$128),1,VLOOKUP(B62,'Machinery Input Tables'!$B$6:$AF$121,28,FALSE))*VLOOKUP(C62,'Machinery Input Tables'!$AH$6:$BA$32,19,FALSE))*D62,"-")</f>
        <v>0.39929999999999999</v>
      </c>
      <c r="F62" s="131">
        <f>IFERROR(IF(AND(ISBLANK(B62)*ISBLANK(C62)),"",IF(ISBLANK(B62),1,IF(VLOOKUP(B62,'Machinery Input Tables'!$B$6:$AF$121,13,FALSE)='Machinery Input Tables'!$N$128,VLOOKUP(B62,'Machinery Input Tables'!$B$6:$AF$121,17,FALSE),VLOOKUP(B62,'Machinery Input Tables'!$B$6:$AF$121,28,FALSE))))*D62,"-")</f>
        <v>2.6691176470588239E-2</v>
      </c>
      <c r="G62" s="132">
        <f>IFERROR(IF(ISBLANK(C62),"",E62*'Machinery Input Tables'!$BP$10*'Machinery Input Tables'!$BP$11+E62*'Machinery Input Tables'!$BP$10+F62*'Machinery Input Tables'!$BP$6+(VLOOKUP(C62,'Machinery Input Tables'!$AH$6:$BA$32,18,FALSE)*IF(IFERROR(VLOOKUP(B62,'Machinery Input Tables'!$B$6:$AF$121,13,FALSE)='Machinery Input Tables'!$N$128,1),1,VLOOKUP(B62,'Machinery Input Tables'!$B$6:$AF$121,28,FALSE))+IFERROR(VLOOKUP(B62,'Machinery Input Tables'!$B$6:$AF$121,27,FALSE),0))*D62),"-")</f>
        <v>2.7770485316784868</v>
      </c>
      <c r="H62" s="132">
        <f>IFERROR((IFERROR(VLOOKUP(B62,'Machinery Input Tables'!$B$6:$AF$121,24,FALSE),0)+VLOOKUP(C62,'Machinery Input Tables'!$AH$6:$BA$32,20,FALSE))*IF(IFERROR(VLOOKUP(B62,'Machinery Input Tables'!$B$6:$AF$121,13,FALSE)='Machinery Input Tables'!$N$128,1),1,VLOOKUP(B62,'Machinery Input Tables'!$B$6:$AF$121,28,FALSE))*D62,"-")</f>
        <v>3.8889997700285543</v>
      </c>
      <c r="I62" s="132">
        <f>IFERROR(IF(ISBLANK(AND(B62,C62)),"",SUM(G62:H62)),"-")</f>
        <v>6.6660483017070415</v>
      </c>
    </row>
    <row r="63" spans="2:9">
      <c r="B63" s="129" t="s">
        <v>851</v>
      </c>
      <c r="C63" s="129" t="s">
        <v>693</v>
      </c>
      <c r="D63" s="130">
        <v>1</v>
      </c>
      <c r="E63" s="131">
        <f>IFERROR(IF(ISBLANK(C63),"",IF(OR(ISBLANK(B63),IFERROR(VLOOKUP(B63,'Machinery Input Tables'!$B$6:$AF$121,13,FALSE),"")='Machinery Input Tables'!$N$128),1,VLOOKUP(B63,'Machinery Input Tables'!$B$6:$AF$121,28,FALSE))*VLOOKUP(C63,'Machinery Input Tables'!$AH$6:$BA$32,19,FALSE))*D63,"-")</f>
        <v>0.55359477124182999</v>
      </c>
      <c r="F63" s="131">
        <f>IFERROR(IF(AND(ISBLANK(B63)*ISBLANK(C63)),"",IF(ISBLANK(B63),1,IF(VLOOKUP(B63,'Machinery Input Tables'!$B$6:$AF$121,13,FALSE)='Machinery Input Tables'!$N$128,VLOOKUP(B63,'Machinery Input Tables'!$B$6:$AF$121,17,FALSE),VLOOKUP(B63,'Machinery Input Tables'!$B$6:$AF$121,28,FALSE))))*D63,"-")</f>
        <v>4.4934640522875817E-2</v>
      </c>
      <c r="G63" s="132">
        <f>IFERROR(IF(ISBLANK(C63),"",E63*'Machinery Input Tables'!$BP$10+F63*'Machinery Input Tables'!$BP$6+(VLOOKUP(C63,'Machinery Input Tables'!$AH$6:$BA$32,18,FALSE)*IF(IFERROR(VLOOKUP(B63,'Machinery Input Tables'!$B$6:$AF$121,13,FALSE)='Machinery Input Tables'!$N$128,1),1,VLOOKUP(B63,'Machinery Input Tables'!$B$6:$AF$121,28,FALSE))+IFERROR(VLOOKUP(B63,'Machinery Input Tables'!$B$6:$AF$121,27,FALSE),0))*D63),"-")</f>
        <v>4.1222646197663799</v>
      </c>
      <c r="H63" s="132">
        <f>IFERROR((IFERROR(VLOOKUP(B63,'Machinery Input Tables'!$B$6:$AF$121,24,FALSE),0)+VLOOKUP(C63,'Machinery Input Tables'!$AH$6:$BA$32,20,FALSE))*IF(IFERROR(VLOOKUP(B63,'Machinery Input Tables'!$B$6:$AF$121,13,FALSE)='Machinery Input Tables'!$N$128,1),1,VLOOKUP(B63,'Machinery Input Tables'!$B$6:$AF$121,28,FALSE))*D63,"-")</f>
        <v>5.040912069370183</v>
      </c>
      <c r="I63" s="132">
        <f t="shared" ref="I63:I72" si="2">IFERROR(IF(ISBLANK(AND(B63,C63)),"",SUM(G63:H63)),"-")</f>
        <v>9.1631766891365629</v>
      </c>
    </row>
    <row r="64" spans="2:9">
      <c r="B64" s="129" t="s">
        <v>845</v>
      </c>
      <c r="C64" s="129" t="s">
        <v>649</v>
      </c>
      <c r="D64" s="130">
        <v>1</v>
      </c>
      <c r="E64" s="131">
        <f>IFERROR(IF(ISBLANK(C64),"",IF(OR(ISBLANK(B64),IFERROR(VLOOKUP(B64,'Machinery Input Tables'!$B$6:$AF$121,13,FALSE),"")='Machinery Input Tables'!$N$128),1,VLOOKUP(B64,'Machinery Input Tables'!$B$6:$AF$121,28,FALSE))*VLOOKUP(C64,'Machinery Input Tables'!$AH$6:$BA$32,19,FALSE))*D64,"-")</f>
        <v>0.50416666666666676</v>
      </c>
      <c r="F64" s="131">
        <f>IFERROR(IF(AND(ISBLANK(B64)*ISBLANK(C64)),"",IF(ISBLANK(B64),1,IF(VLOOKUP(B64,'Machinery Input Tables'!$B$6:$AF$121,13,FALSE)='Machinery Input Tables'!$N$128,VLOOKUP(B64,'Machinery Input Tables'!$B$6:$AF$121,17,FALSE),VLOOKUP(B64,'Machinery Input Tables'!$B$6:$AF$121,28,FALSE))))*D64,"-")</f>
        <v>3.3700980392156868E-2</v>
      </c>
      <c r="G64" s="132">
        <f>IFERROR(IF(ISBLANK(C64),"",E64*'Machinery Input Tables'!$BP$10+F64*'Machinery Input Tables'!$BP$6+(VLOOKUP(C64,'Machinery Input Tables'!$AH$6:$BA$32,18,FALSE)*IF(IFERROR(VLOOKUP(B64,'Machinery Input Tables'!$B$6:$AF$121,13,FALSE)='Machinery Input Tables'!$N$128,1),1,VLOOKUP(B64,'Machinery Input Tables'!$B$6:$AF$121,28,FALSE))+IFERROR(VLOOKUP(B64,'Machinery Input Tables'!$B$6:$AF$121,27,FALSE),0))*D64),"-")</f>
        <v>3.5928773788927337</v>
      </c>
      <c r="H64" s="132">
        <f>IFERROR((IFERROR(VLOOKUP(B64,'Machinery Input Tables'!$B$6:$AF$121,24,FALSE),0)+VLOOKUP(C64,'Machinery Input Tables'!$AH$6:$BA$32,20,FALSE))*IF(IFERROR(VLOOKUP(B64,'Machinery Input Tables'!$B$6:$AF$121,13,FALSE)='Machinery Input Tables'!$N$128,1),1,VLOOKUP(B64,'Machinery Input Tables'!$B$6:$AF$121,28,FALSE))*D64,"-")</f>
        <v>3.975743610674769</v>
      </c>
      <c r="I64" s="132">
        <f t="shared" si="2"/>
        <v>7.5686209895675027</v>
      </c>
    </row>
    <row r="65" spans="2:9">
      <c r="B65" s="129" t="s">
        <v>850</v>
      </c>
      <c r="C65" s="129" t="s">
        <v>693</v>
      </c>
      <c r="D65" s="130">
        <v>1</v>
      </c>
      <c r="E65" s="131">
        <f>IFERROR(IF(ISBLANK(C65),"",IF(OR(ISBLANK(B65),IFERROR(VLOOKUP(B65,'Machinery Input Tables'!$B$6:$AF$121,13,FALSE),"")='Machinery Input Tables'!$N$128),1,VLOOKUP(B65,'Machinery Input Tables'!$B$6:$AF$121,28,FALSE))*VLOOKUP(C65,'Machinery Input Tables'!$AH$6:$BA$32,19,FALSE))*D65,"-")</f>
        <v>0.82133333333333325</v>
      </c>
      <c r="F65" s="131">
        <f>IFERROR(IF(AND(ISBLANK(B65)*ISBLANK(C65)),"",IF(ISBLANK(B65),1,IF(VLOOKUP(B65,'Machinery Input Tables'!$B$6:$AF$121,13,FALSE)='Machinery Input Tables'!$N$128,VLOOKUP(B65,'Machinery Input Tables'!$B$6:$AF$121,17,FALSE),VLOOKUP(B65,'Machinery Input Tables'!$B$6:$AF$121,28,FALSE))))*D65,"-")</f>
        <v>6.6666666666666666E-2</v>
      </c>
      <c r="G65" s="132">
        <f>IFERROR(IF(ISBLANK(C65),"",E65*'Machinery Input Tables'!$BP$10+F65*'Machinery Input Tables'!$BP$6+(VLOOKUP(C65,'Machinery Input Tables'!$AH$6:$BA$32,18,FALSE)*IF(IFERROR(VLOOKUP(B65,'Machinery Input Tables'!$B$6:$AF$121,13,FALSE)='Machinery Input Tables'!$N$128,1),1,VLOOKUP(B65,'Machinery Input Tables'!$B$6:$AF$121,28,FALSE))+IFERROR(VLOOKUP(B65,'Machinery Input Tables'!$B$6:$AF$121,27,FALSE),0))*D65),"-")</f>
        <v>10.935572086084932</v>
      </c>
      <c r="H65" s="132">
        <f>IFERROR((IFERROR(VLOOKUP(B65,'Machinery Input Tables'!$B$6:$AF$121,24,FALSE),0)+VLOOKUP(C65,'Machinery Input Tables'!$AH$6:$BA$32,20,FALSE))*IF(IFERROR(VLOOKUP(B65,'Machinery Input Tables'!$B$6:$AF$121,13,FALSE)='Machinery Input Tables'!$N$128,1),1,VLOOKUP(B65,'Machinery Input Tables'!$B$6:$AF$121,28,FALSE))*D65,"-")</f>
        <v>16.019837318672113</v>
      </c>
      <c r="I65" s="132">
        <f t="shared" si="2"/>
        <v>26.955409404757045</v>
      </c>
    </row>
    <row r="66" spans="2:9">
      <c r="B66" s="129" t="s">
        <v>694</v>
      </c>
      <c r="C66" s="129" t="s">
        <v>678</v>
      </c>
      <c r="D66" s="130">
        <v>3</v>
      </c>
      <c r="E66" s="131">
        <f>IFERROR(IF(ISBLANK(C66),"",IF(OR(ISBLANK(B66),IFERROR(VLOOKUP(B66,'Machinery Input Tables'!$B$6:$AF$121,13,FALSE),"")='Machinery Input Tables'!$N$128),1,VLOOKUP(B66,'Machinery Input Tables'!$B$6:$AF$121,28,FALSE))*VLOOKUP(C66,'Machinery Input Tables'!$AH$6:$BA$32,19,FALSE))*D66,"-")</f>
        <v>0.37812499999999999</v>
      </c>
      <c r="F66" s="131">
        <f>IFERROR(IF(AND(ISBLANK(B66)*ISBLANK(C66)),"",IF(ISBLANK(B66),1,IF(VLOOKUP(B66,'Machinery Input Tables'!$B$6:$AF$121,13,FALSE)='Machinery Input Tables'!$N$128,VLOOKUP(B66,'Machinery Input Tables'!$B$6:$AF$121,17,FALSE),VLOOKUP(B66,'Machinery Input Tables'!$B$6:$AF$121,28,FALSE))))*D66,"-")</f>
        <v>2.75E-2</v>
      </c>
      <c r="G66" s="132">
        <f>IFERROR(IF(ISBLANK(C66),"",E66*'Machinery Input Tables'!$BP$10+F66*'Machinery Input Tables'!$BP$6+(VLOOKUP(C66,'Machinery Input Tables'!$AH$6:$BA$32,18,FALSE)*IF(IFERROR(VLOOKUP(B66,'Machinery Input Tables'!$B$6:$AF$121,13,FALSE)='Machinery Input Tables'!$N$128,1),1,VLOOKUP(B66,'Machinery Input Tables'!$B$6:$AF$121,28,FALSE))+IFERROR(VLOOKUP(B66,'Machinery Input Tables'!$B$6:$AF$121,27,FALSE),0))*D66),"-")</f>
        <v>8.4357110346734672</v>
      </c>
      <c r="H66" s="132">
        <f>IFERROR((IFERROR(VLOOKUP(B66,'Machinery Input Tables'!$B$6:$AF$121,24,FALSE),0)+VLOOKUP(C66,'Machinery Input Tables'!$AH$6:$BA$32,20,FALSE))*IF(IFERROR(VLOOKUP(B66,'Machinery Input Tables'!$B$6:$AF$121,13,FALSE)='Machinery Input Tables'!$N$128,1),1,VLOOKUP(B66,'Machinery Input Tables'!$B$6:$AF$121,28,FALSE))*D66,"-")</f>
        <v>4.8001105747396</v>
      </c>
      <c r="I66" s="132">
        <f t="shared" si="2"/>
        <v>13.235821609413067</v>
      </c>
    </row>
    <row r="67" spans="2:9">
      <c r="B67" s="129" t="s">
        <v>847</v>
      </c>
      <c r="C67" s="129" t="s">
        <v>848</v>
      </c>
      <c r="D67" s="130">
        <v>1</v>
      </c>
      <c r="E67" s="131">
        <f>IFERROR(IF(ISBLANK(C67),"",IF(OR(ISBLANK(B67),IFERROR(VLOOKUP(B67,'Machinery Input Tables'!$B$6:$AF$121,13,FALSE),"")='Machinery Input Tables'!$N$128),1,VLOOKUP(B67,'Machinery Input Tables'!$B$6:$AF$121,28,FALSE))*VLOOKUP(C67,'Machinery Input Tables'!$AH$6:$BA$32,19,FALSE))*D67,"-")</f>
        <v>1.8333333333333335</v>
      </c>
      <c r="F67" s="131">
        <f>IFERROR(IF(AND(ISBLANK(B67)*ISBLANK(C67)),"",IF(ISBLANK(B67),1,IF(VLOOKUP(B67,'Machinery Input Tables'!$B$6:$AF$121,13,FALSE)='Machinery Input Tables'!$N$128,VLOOKUP(B67,'Machinery Input Tables'!$B$6:$AF$121,17,FALSE),VLOOKUP(B67,'Machinery Input Tables'!$B$6:$AF$121,28,FALSE))))*D67,"-")</f>
        <v>8.1481481481481488E-2</v>
      </c>
      <c r="G67" s="132">
        <f>IFERROR(IF(ISBLANK(C67),"",E67*'Machinery Input Tables'!$BP$10+F67*'Machinery Input Tables'!$BP$6+(VLOOKUP(C67,'Machinery Input Tables'!$AH$6:$BA$32,18,FALSE)*IF(IFERROR(VLOOKUP(B67,'Machinery Input Tables'!$B$6:$AF$121,13,FALSE)='Machinery Input Tables'!$N$128,1),1,VLOOKUP(B67,'Machinery Input Tables'!$B$6:$AF$121,28,FALSE))+IFERROR(VLOOKUP(B67,'Machinery Input Tables'!$B$6:$AF$121,27,FALSE),0))*D67),"-")</f>
        <v>16.085186076571429</v>
      </c>
      <c r="H67" s="132">
        <f>IFERROR((IFERROR(VLOOKUP(B67,'Machinery Input Tables'!$B$6:$AF$121,24,FALSE),0)+VLOOKUP(C67,'Machinery Input Tables'!$AH$6:$BA$32,20,FALSE))*IF(IFERROR(VLOOKUP(B67,'Machinery Input Tables'!$B$6:$AF$121,13,FALSE)='Machinery Input Tables'!$N$128,1),1,VLOOKUP(B67,'Machinery Input Tables'!$B$6:$AF$121,28,FALSE))*D67,"-")</f>
        <v>25.218409624841467</v>
      </c>
      <c r="I67" s="132">
        <f t="shared" si="2"/>
        <v>41.303595701412895</v>
      </c>
    </row>
    <row r="68" spans="2:9">
      <c r="B68" s="129" t="s">
        <v>846</v>
      </c>
      <c r="C68" s="129" t="s">
        <v>693</v>
      </c>
      <c r="D68" s="130">
        <v>0.06</v>
      </c>
      <c r="E68" s="131">
        <f>IFERROR(IF(ISBLANK(C68),"",IF(OR(ISBLANK(B68),IFERROR(VLOOKUP(B68,'Machinery Input Tables'!$B$6:$AF$121,13,FALSE),"")='Machinery Input Tables'!$N$128),1,VLOOKUP(B68,'Machinery Input Tables'!$B$6:$AF$121,28,FALSE))*VLOOKUP(C68,'Machinery Input Tables'!$AH$6:$BA$32,19,FALSE))*D68,"-")</f>
        <v>0.73919999999999986</v>
      </c>
      <c r="F68" s="131">
        <f>IFERROR(IF(AND(ISBLANK(B68)*ISBLANK(C68)),"",IF(ISBLANK(B68),1,IF(VLOOKUP(B68,'Machinery Input Tables'!$B$6:$AF$121,13,FALSE)='Machinery Input Tables'!$N$128,VLOOKUP(B68,'Machinery Input Tables'!$B$6:$AF$121,17,FALSE),VLOOKUP(B68,'Machinery Input Tables'!$B$6:$AF$121,28,FALSE))))*D68,"-")</f>
        <v>6.8999999999999992E-2</v>
      </c>
      <c r="G68" s="132">
        <f>IFERROR(IF(ISBLANK(C68),"",E68*'Machinery Input Tables'!$BP$10+F68*'Machinery Input Tables'!$BP$6+(VLOOKUP(C68,'Machinery Input Tables'!$AH$6:$BA$32,18,FALSE)*IF(IFERROR(VLOOKUP(B68,'Machinery Input Tables'!$B$6:$AF$121,13,FALSE)='Machinery Input Tables'!$N$128,1),1,VLOOKUP(B68,'Machinery Input Tables'!$B$6:$AF$121,28,FALSE))+IFERROR(VLOOKUP(B68,'Machinery Input Tables'!$B$6:$AF$121,27,FALSE),0))*D68),"-")</f>
        <v>6.4561986078114444</v>
      </c>
      <c r="H68" s="132">
        <f>IFERROR((IFERROR(VLOOKUP(B68,'Machinery Input Tables'!$B$6:$AF$121,24,FALSE),0)+VLOOKUP(C68,'Machinery Input Tables'!$AH$6:$BA$32,20,FALSE))*IF(IFERROR(VLOOKUP(B68,'Machinery Input Tables'!$B$6:$AF$121,13,FALSE)='Machinery Input Tables'!$N$128,1),1,VLOOKUP(B68,'Machinery Input Tables'!$B$6:$AF$121,28,FALSE))*D68,"-")</f>
        <v>7.9683401617136189</v>
      </c>
      <c r="I68" s="132">
        <f t="shared" si="2"/>
        <v>14.424538769525064</v>
      </c>
    </row>
    <row r="69" spans="2:9">
      <c r="B69" s="129" t="s">
        <v>729</v>
      </c>
      <c r="C69" s="129" t="s">
        <v>849</v>
      </c>
      <c r="D69" s="130">
        <v>0.23</v>
      </c>
      <c r="E69" s="131">
        <f>IFERROR(IF(ISBLANK(C69),"",IF(OR(ISBLANK(B69),IFERROR(VLOOKUP(B69,'Machinery Input Tables'!$B$6:$AF$121,13,FALSE),"")='Machinery Input Tables'!$N$128),1,VLOOKUP(B69,'Machinery Input Tables'!$B$6:$AF$121,28,FALSE))*VLOOKUP(C69,'Machinery Input Tables'!$AH$6:$BA$32,19,FALSE))*D69,"-")</f>
        <v>1.6387500000000002</v>
      </c>
      <c r="F69" s="131">
        <f>IFERROR(IF(AND(ISBLANK(B69)*ISBLANK(C69)),"",IF(ISBLANK(B69),1,IF(VLOOKUP(B69,'Machinery Input Tables'!$B$6:$AF$121,13,FALSE)='Machinery Input Tables'!$N$128,VLOOKUP(B69,'Machinery Input Tables'!$B$6:$AF$121,17,FALSE),VLOOKUP(B69,'Machinery Input Tables'!$B$6:$AF$121,28,FALSE))))*D69,"-")</f>
        <v>0.25300000000000006</v>
      </c>
      <c r="G69" s="132">
        <f>IFERROR(IF(ISBLANK(C69),"",E69*'Machinery Input Tables'!$BP$10+F69*'Machinery Input Tables'!$BP$6+(VLOOKUP(C69,'Machinery Input Tables'!$AH$6:$BA$32,18,FALSE)*IF(IFERROR(VLOOKUP(B69,'Machinery Input Tables'!$B$6:$AF$121,13,FALSE)='Machinery Input Tables'!$N$128,1),1,VLOOKUP(B69,'Machinery Input Tables'!$B$6:$AF$121,28,FALSE))+IFERROR(VLOOKUP(B69,'Machinery Input Tables'!$B$6:$AF$121,27,FALSE),0))*D69),"-")</f>
        <v>16.762341004326707</v>
      </c>
      <c r="H69" s="132">
        <f>IFERROR((IFERROR(VLOOKUP(B69,'Machinery Input Tables'!$B$6:$AF$121,24,FALSE),0)+VLOOKUP(C69,'Machinery Input Tables'!$AH$6:$BA$32,20,FALSE))*IF(IFERROR(VLOOKUP(B69,'Machinery Input Tables'!$B$6:$AF$121,13,FALSE)='Machinery Input Tables'!$N$128,1),1,VLOOKUP(B69,'Machinery Input Tables'!$B$6:$AF$121,28,FALSE))*D69,"-")</f>
        <v>8.6911146839372257</v>
      </c>
      <c r="I69" s="132">
        <f t="shared" si="2"/>
        <v>25.453455688263933</v>
      </c>
    </row>
    <row r="70" spans="2:9">
      <c r="B70" s="129" t="s">
        <v>904</v>
      </c>
      <c r="C70" s="129" t="s">
        <v>804</v>
      </c>
      <c r="D70" s="130">
        <v>0.04</v>
      </c>
      <c r="E70" s="131">
        <f>IFERROR(IF(ISBLANK(C70),"",IF(OR(ISBLANK(B70),IFERROR(VLOOKUP(B70,'Machinery Input Tables'!$B$6:$AF$121,13,FALSE),"")='Machinery Input Tables'!$N$128),1,VLOOKUP(B70,'Machinery Input Tables'!$B$6:$AF$121,28,FALSE))*VLOOKUP(C70,'Machinery Input Tables'!$AH$6:$BA$32,19,FALSE))*D70,"-")</f>
        <v>0.2288</v>
      </c>
      <c r="F70" s="131">
        <f>IFERROR(IF(AND(ISBLANK(B70)*ISBLANK(C70)),"",IF(ISBLANK(B70),1,IF(VLOOKUP(B70,'Machinery Input Tables'!$B$6:$AF$121,13,FALSE)='Machinery Input Tables'!$N$128,VLOOKUP(B70,'Machinery Input Tables'!$B$6:$AF$121,17,FALSE),VLOOKUP(B70,'Machinery Input Tables'!$B$6:$AF$121,28,FALSE))))*D70,"-")</f>
        <v>4.2000000000000003E-2</v>
      </c>
      <c r="G70" s="132">
        <f>IFERROR(IF(ISBLANK(C70),"",E70*'Machinery Input Tables'!$BP$10+F70*'Machinery Input Tables'!$BP$6+(VLOOKUP(C70,'Machinery Input Tables'!$AH$6:$BA$32,18,FALSE)*IF(IFERROR(VLOOKUP(B70,'Machinery Input Tables'!$B$6:$AF$121,13,FALSE)='Machinery Input Tables'!$N$128,1),1,VLOOKUP(B70,'Machinery Input Tables'!$B$6:$AF$121,28,FALSE))+IFERROR(VLOOKUP(B70,'Machinery Input Tables'!$B$6:$AF$121,27,FALSE),0))*D70),"-")</f>
        <v>2.2825338551045582</v>
      </c>
      <c r="H70" s="132">
        <f>IFERROR((IFERROR(VLOOKUP(B70,'Machinery Input Tables'!$B$6:$AF$121,24,FALSE),0)+VLOOKUP(C70,'Machinery Input Tables'!$AH$6:$BA$32,20,FALSE))*IF(IFERROR(VLOOKUP(B70,'Machinery Input Tables'!$B$6:$AF$121,13,FALSE)='Machinery Input Tables'!$N$128,1),1,VLOOKUP(B70,'Machinery Input Tables'!$B$6:$AF$121,28,FALSE))*D70,"-")</f>
        <v>1.7624251752595121</v>
      </c>
      <c r="I70" s="132">
        <f t="shared" si="2"/>
        <v>4.0449590303640708</v>
      </c>
    </row>
    <row r="71" spans="2:9">
      <c r="B71" s="129"/>
      <c r="C71" s="129" t="s">
        <v>695</v>
      </c>
      <c r="D71" s="130">
        <v>0.25</v>
      </c>
      <c r="E71" s="131">
        <f>IFERROR(IF(ISBLANK(C71),"",IF(OR(ISBLANK(B71),IFERROR(VLOOKUP(B71,'Machinery Input Tables'!$B$6:$AF$121,13,FALSE),"")='Machinery Input Tables'!$N$128),1,VLOOKUP(B71,'Machinery Input Tables'!$B$6:$AF$121,28,FALSE))*VLOOKUP(C71,'Machinery Input Tables'!$AH$6:$BA$32,19,FALSE))*D71,"-")</f>
        <v>0.75</v>
      </c>
      <c r="F71" s="131">
        <f>IFERROR(IF(AND(ISBLANK(B71)*ISBLANK(C71)),"",IF(ISBLANK(B71),1,IF(VLOOKUP(B71,'Machinery Input Tables'!$B$6:$AF$121,13,FALSE)='Machinery Input Tables'!$N$128,VLOOKUP(B71,'Machinery Input Tables'!$B$6:$AF$121,17,FALSE),VLOOKUP(B71,'Machinery Input Tables'!$B$6:$AF$121,28,FALSE))))*D71,"-")</f>
        <v>0.25</v>
      </c>
      <c r="G71" s="132">
        <f>IFERROR(IF(ISBLANK(C71),"",E71*'Machinery Input Tables'!$BP$10+F71*'Machinery Input Tables'!$BP$6+(VLOOKUP(C71,'Machinery Input Tables'!$AH$6:$BA$32,18,FALSE)*IF(IFERROR(VLOOKUP(B71,'Machinery Input Tables'!$B$6:$AF$121,13,FALSE)='Machinery Input Tables'!$N$128,1),1,VLOOKUP(B71,'Machinery Input Tables'!$B$6:$AF$121,28,FALSE))+IFERROR(VLOOKUP(B71,'Machinery Input Tables'!$B$6:$AF$121,27,FALSE),0))*D71),"-")</f>
        <v>12.05</v>
      </c>
      <c r="H71" s="132">
        <f>IFERROR((IFERROR(VLOOKUP(B71,'Machinery Input Tables'!$B$6:$AF$121,24,FALSE),0)+VLOOKUP(C71,'Machinery Input Tables'!$AH$6:$BA$32,20,FALSE))*IF(IFERROR(VLOOKUP(B71,'Machinery Input Tables'!$B$6:$AF$121,13,FALSE)='Machinery Input Tables'!$N$128,1),1,VLOOKUP(B71,'Machinery Input Tables'!$B$6:$AF$121,28,FALSE))*D71,"-")</f>
        <v>4.9630979032408344</v>
      </c>
      <c r="I71" s="132">
        <f t="shared" si="2"/>
        <v>17.013097903240833</v>
      </c>
    </row>
    <row r="72" spans="2:9">
      <c r="B72" s="133" t="s">
        <v>791</v>
      </c>
      <c r="C72" s="133" t="s">
        <v>649</v>
      </c>
      <c r="D72" s="134">
        <v>2</v>
      </c>
      <c r="E72" s="135">
        <f>IFERROR(IF(ISBLANK(C72),"",IF(OR(ISBLANK(B72),IFERROR(VLOOKUP(B72,'Machinery Input Tables'!$B$6:$AF$121,13,FALSE),"")='Machinery Input Tables'!$N$128),1,VLOOKUP(B72,'Machinery Input Tables'!$B$6:$AF$121,28,FALSE))*VLOOKUP(C72,'Machinery Input Tables'!$AH$6:$BA$32,19,FALSE))*D72,"-")</f>
        <v>1.5125</v>
      </c>
      <c r="F72" s="135">
        <f>IFERROR(IF(AND(ISBLANK(B72)*ISBLANK(C72)),"",IF(ISBLANK(B72),1,IF(VLOOKUP(B72,'Machinery Input Tables'!$B$6:$AF$121,13,FALSE)='Machinery Input Tables'!$N$128,VLOOKUP(B72,'Machinery Input Tables'!$B$6:$AF$121,17,FALSE),VLOOKUP(B72,'Machinery Input Tables'!$B$6:$AF$121,28,FALSE))))*D72,"-")</f>
        <v>0.10110294117647059</v>
      </c>
      <c r="G72" s="136">
        <f>IFERROR(IF(ISBLANK(C72),"",E72*'Machinery Input Tables'!$BP$10+F72*'Machinery Input Tables'!$BP$6+(VLOOKUP(C72,'Machinery Input Tables'!$AH$6:$BA$32,18,FALSE)*IF(IFERROR(VLOOKUP(B72,'Machinery Input Tables'!$B$6:$AF$121,13,FALSE)='Machinery Input Tables'!$N$128,1),1,VLOOKUP(B72,'Machinery Input Tables'!$B$6:$AF$121,28,FALSE))+IFERROR(VLOOKUP(B72,'Machinery Input Tables'!$B$6:$AF$121,27,FALSE),0))*D72),"-")</f>
        <v>13.766064929772497</v>
      </c>
      <c r="H72" s="136">
        <f>IFERROR((IFERROR(VLOOKUP(B72,'Machinery Input Tables'!$B$6:$AF$121,24,FALSE),0)+VLOOKUP(C72,'Machinery Input Tables'!$AH$6:$BA$32,20,FALSE))*IF(IFERROR(VLOOKUP(B72,'Machinery Input Tables'!$B$6:$AF$121,13,FALSE)='Machinery Input Tables'!$N$128,1),1,VLOOKUP(B72,'Machinery Input Tables'!$B$6:$AF$121,28,FALSE))*D72,"-")</f>
        <v>21.172569014582731</v>
      </c>
      <c r="I72" s="136">
        <f t="shared" si="2"/>
        <v>34.938633944355232</v>
      </c>
    </row>
    <row r="73" spans="2:9">
      <c r="B73" s="126"/>
      <c r="C73" s="137" t="s">
        <v>19</v>
      </c>
      <c r="D73" s="138"/>
      <c r="E73" s="139">
        <f>SUM(E62:E72)</f>
        <v>9.359103104575162</v>
      </c>
      <c r="F73" s="139">
        <f>SUM(F62:F72)</f>
        <v>0.99607788671023978</v>
      </c>
      <c r="G73" s="140">
        <f t="shared" ref="G73:I73" si="3">SUM(G62:G72)</f>
        <v>97.265798124682647</v>
      </c>
      <c r="H73" s="140">
        <f t="shared" si="3"/>
        <v>103.50155990706061</v>
      </c>
      <c r="I73" s="140">
        <f t="shared" si="3"/>
        <v>200.7673580317433</v>
      </c>
    </row>
    <row r="74" spans="2:9">
      <c r="B74" s="141" t="s">
        <v>874</v>
      </c>
      <c r="C74" s="72"/>
      <c r="D74" s="72"/>
      <c r="E74" s="72"/>
      <c r="F74" s="72"/>
      <c r="G74" s="72"/>
      <c r="H74" s="72"/>
    </row>
    <row r="75" spans="2:9">
      <c r="B75" s="141" t="s">
        <v>875</v>
      </c>
      <c r="C75" s="72"/>
      <c r="D75" s="72"/>
      <c r="E75" s="72"/>
      <c r="F75" s="72"/>
      <c r="G75" s="72"/>
      <c r="H75" s="72"/>
    </row>
    <row r="76" spans="2:9">
      <c r="B76" s="72"/>
      <c r="C76" s="72"/>
      <c r="D76" s="72"/>
      <c r="E76" s="72"/>
      <c r="F76" s="72"/>
      <c r="G76" s="72"/>
      <c r="H76" s="72"/>
    </row>
    <row r="77" spans="2:9" hidden="1">
      <c r="B77" s="72"/>
      <c r="C77" s="72"/>
      <c r="D77" s="72"/>
      <c r="E77" s="72"/>
      <c r="F77" s="72"/>
      <c r="G77" s="72"/>
      <c r="H77" s="72"/>
    </row>
    <row r="78" spans="2:9" hidden="1">
      <c r="H78" s="72"/>
    </row>
    <row r="79" spans="2:9" hidden="1">
      <c r="H79" s="72"/>
    </row>
    <row r="80" spans="2:9" hidden="1">
      <c r="H80" s="72"/>
    </row>
    <row r="81" spans="2:8" hidden="1">
      <c r="H81" s="72"/>
    </row>
    <row r="82" spans="2:8" hidden="1">
      <c r="H82" s="72"/>
    </row>
    <row r="83" spans="2:8" hidden="1">
      <c r="H83" s="72"/>
    </row>
    <row r="84" spans="2:8" hidden="1">
      <c r="H84" s="72"/>
    </row>
    <row r="85" spans="2:8" hidden="1">
      <c r="H85" s="72"/>
    </row>
    <row r="86" spans="2:8" hidden="1">
      <c r="H86" s="72"/>
    </row>
    <row r="87" spans="2:8" hidden="1">
      <c r="H87" s="72"/>
    </row>
    <row r="88" spans="2:8" hidden="1">
      <c r="B88" s="72"/>
      <c r="C88" s="72"/>
      <c r="D88" s="72"/>
      <c r="E88" s="74" t="s">
        <v>803</v>
      </c>
      <c r="F88" s="142">
        <f>F46</f>
        <v>54.373887786236764</v>
      </c>
      <c r="G88" s="72"/>
      <c r="H88" s="72"/>
    </row>
    <row r="89" spans="2:8" hidden="1">
      <c r="B89" s="72"/>
      <c r="C89" s="72"/>
      <c r="D89" s="72"/>
      <c r="E89" s="72"/>
      <c r="F89" s="72"/>
      <c r="G89" s="72"/>
      <c r="H89" s="72"/>
    </row>
    <row r="90" spans="2:8" hidden="1">
      <c r="H90" s="72"/>
    </row>
    <row r="91" spans="2:8" hidden="1">
      <c r="H91" s="72"/>
    </row>
    <row r="92" spans="2:8" hidden="1">
      <c r="H92" s="72"/>
    </row>
    <row r="93" spans="2:8" hidden="1">
      <c r="H93" s="72"/>
    </row>
    <row r="104" spans="8:8" hidden="1">
      <c r="H104" s="72"/>
    </row>
    <row r="105" spans="8:8" hidden="1">
      <c r="H105" s="72"/>
    </row>
    <row r="933" spans="2:3" hidden="1">
      <c r="B933" s="3" t="s">
        <v>41</v>
      </c>
    </row>
    <row r="934" spans="2:3" hidden="1">
      <c r="B934" s="3" t="s">
        <v>42</v>
      </c>
      <c r="C934" s="3">
        <v>5</v>
      </c>
    </row>
    <row r="935" spans="2:3" hidden="1">
      <c r="B935" s="3" t="s">
        <v>43</v>
      </c>
      <c r="C935" s="3">
        <v>1</v>
      </c>
    </row>
    <row r="936" spans="2:3" hidden="1">
      <c r="B936" s="3" t="s">
        <v>44</v>
      </c>
      <c r="C936" s="3">
        <v>1</v>
      </c>
    </row>
    <row r="937" spans="2:3" hidden="1">
      <c r="B937" s="3" t="s">
        <v>45</v>
      </c>
      <c r="C937" s="3">
        <v>2</v>
      </c>
    </row>
    <row r="938" spans="2:3" hidden="1">
      <c r="B938" s="3" t="s">
        <v>46</v>
      </c>
      <c r="C938" s="3">
        <v>1</v>
      </c>
    </row>
    <row r="939" spans="2:3" hidden="1">
      <c r="B939" s="3" t="s">
        <v>47</v>
      </c>
      <c r="C939" s="3">
        <v>0</v>
      </c>
    </row>
    <row r="940" spans="2:3" hidden="1">
      <c r="B940" s="3" t="s">
        <v>48</v>
      </c>
      <c r="C940" s="3">
        <v>0</v>
      </c>
    </row>
    <row r="941" spans="2:3" hidden="1">
      <c r="B941" s="3" t="s">
        <v>49</v>
      </c>
      <c r="C941" s="3">
        <v>0</v>
      </c>
    </row>
    <row r="942" spans="2:3" hidden="1">
      <c r="B942" s="3" t="s">
        <v>50</v>
      </c>
      <c r="C942" s="3">
        <v>0</v>
      </c>
    </row>
    <row r="943" spans="2:3" hidden="1">
      <c r="B943" s="3" t="s">
        <v>51</v>
      </c>
      <c r="C943" s="3">
        <v>0</v>
      </c>
    </row>
    <row r="944" spans="2:3" hidden="1">
      <c r="B944" s="3" t="s">
        <v>52</v>
      </c>
      <c r="C944" s="3">
        <v>0</v>
      </c>
    </row>
    <row r="945" spans="2:3" hidden="1">
      <c r="B945" s="3" t="s">
        <v>53</v>
      </c>
      <c r="C945" s="3" t="b">
        <v>1</v>
      </c>
    </row>
    <row r="946" spans="2:3" hidden="1">
      <c r="B946" s="3" t="s">
        <v>54</v>
      </c>
      <c r="C946" s="3">
        <v>0</v>
      </c>
    </row>
    <row r="947" spans="2:3" hidden="1">
      <c r="B947" s="3" t="s">
        <v>55</v>
      </c>
      <c r="C947" s="3" t="b">
        <v>1</v>
      </c>
    </row>
    <row r="948" spans="2:3" hidden="1">
      <c r="B948" s="3" t="s">
        <v>56</v>
      </c>
      <c r="C948" s="3">
        <v>0</v>
      </c>
    </row>
    <row r="949" spans="2:3" hidden="1">
      <c r="B949" s="3" t="s">
        <v>57</v>
      </c>
      <c r="C949" s="3">
        <v>0</v>
      </c>
    </row>
    <row r="950" spans="2:3" hidden="1">
      <c r="B950" s="3" t="s">
        <v>58</v>
      </c>
      <c r="C950" s="3" t="b">
        <v>1</v>
      </c>
    </row>
    <row r="951" spans="2:3" hidden="1">
      <c r="B951" s="3" t="s">
        <v>59</v>
      </c>
      <c r="C951" s="3">
        <v>0</v>
      </c>
    </row>
    <row r="952" spans="2:3" hidden="1">
      <c r="B952" s="3" t="s">
        <v>60</v>
      </c>
      <c r="C952" s="3">
        <v>0</v>
      </c>
    </row>
    <row r="953" spans="2:3" hidden="1">
      <c r="B953" s="3" t="s">
        <v>61</v>
      </c>
      <c r="C953" s="3">
        <v>0</v>
      </c>
    </row>
    <row r="954" spans="2:3" hidden="1">
      <c r="B954" s="3" t="s">
        <v>62</v>
      </c>
      <c r="C954" s="3">
        <v>0</v>
      </c>
    </row>
    <row r="955" spans="2:3" hidden="1">
      <c r="B955" s="3" t="s">
        <v>63</v>
      </c>
      <c r="C955" s="3" t="s">
        <v>358</v>
      </c>
    </row>
    <row r="956" spans="2:3" hidden="1">
      <c r="B956" s="3" t="s">
        <v>64</v>
      </c>
      <c r="C956" s="3">
        <v>100</v>
      </c>
    </row>
    <row r="957" spans="2:3" hidden="1">
      <c r="B957" s="3" t="s">
        <v>65</v>
      </c>
      <c r="C957" s="3">
        <v>25</v>
      </c>
    </row>
    <row r="958" spans="2:3" hidden="1">
      <c r="B958" s="3" t="s">
        <v>66</v>
      </c>
      <c r="C958" s="3">
        <v>9</v>
      </c>
    </row>
    <row r="959" spans="2:3" hidden="1">
      <c r="B959" s="3" t="s">
        <v>67</v>
      </c>
      <c r="C959" s="3">
        <v>0</v>
      </c>
    </row>
    <row r="960" spans="2:3" hidden="1">
      <c r="B960" s="3" t="s">
        <v>68</v>
      </c>
      <c r="C960" s="3">
        <v>0</v>
      </c>
    </row>
    <row r="961" spans="2:3" hidden="1">
      <c r="B961" s="3" t="s">
        <v>69</v>
      </c>
      <c r="C961" s="3">
        <v>0</v>
      </c>
    </row>
    <row r="962" spans="2:3" hidden="1">
      <c r="B962" s="3" t="s">
        <v>70</v>
      </c>
      <c r="C962" s="3">
        <v>0</v>
      </c>
    </row>
    <row r="963" spans="2:3" hidden="1">
      <c r="B963" s="3" t="s">
        <v>71</v>
      </c>
      <c r="C963" s="3">
        <v>0</v>
      </c>
    </row>
    <row r="964" spans="2:3" hidden="1">
      <c r="B964" s="3" t="s">
        <v>72</v>
      </c>
      <c r="C964" s="3">
        <v>60</v>
      </c>
    </row>
    <row r="965" spans="2:3" hidden="1">
      <c r="B965" s="3" t="s">
        <v>73</v>
      </c>
      <c r="C965" s="3">
        <v>0</v>
      </c>
    </row>
    <row r="966" spans="2:3" hidden="1">
      <c r="B966" s="3" t="s">
        <v>74</v>
      </c>
      <c r="C966" s="3">
        <v>0</v>
      </c>
    </row>
    <row r="967" spans="2:3" hidden="1">
      <c r="B967" s="3" t="s">
        <v>75</v>
      </c>
      <c r="C967" s="3">
        <v>0</v>
      </c>
    </row>
    <row r="968" spans="2:3" hidden="1">
      <c r="B968" s="3" t="s">
        <v>76</v>
      </c>
      <c r="C968" s="3">
        <v>0</v>
      </c>
    </row>
    <row r="969" spans="2:3" hidden="1">
      <c r="B969" s="3" t="s">
        <v>77</v>
      </c>
      <c r="C969" s="3">
        <v>0</v>
      </c>
    </row>
    <row r="970" spans="2:3" hidden="1">
      <c r="B970" s="3" t="s">
        <v>78</v>
      </c>
      <c r="C970" s="3">
        <v>200000</v>
      </c>
    </row>
    <row r="971" spans="2:3" hidden="1">
      <c r="B971" s="3" t="s">
        <v>79</v>
      </c>
      <c r="C971" s="3">
        <v>0</v>
      </c>
    </row>
    <row r="972" spans="2:3" hidden="1">
      <c r="B972" s="3" t="s">
        <v>80</v>
      </c>
      <c r="C972" s="3">
        <v>0</v>
      </c>
    </row>
    <row r="973" spans="2:3" hidden="1">
      <c r="B973" s="3" t="s">
        <v>81</v>
      </c>
      <c r="C973" s="3">
        <v>0</v>
      </c>
    </row>
    <row r="974" spans="2:3" hidden="1">
      <c r="B974" s="3" t="s">
        <v>82</v>
      </c>
      <c r="C974" s="3">
        <v>0</v>
      </c>
    </row>
    <row r="975" spans="2:3" hidden="1">
      <c r="B975" s="3" t="s">
        <v>83</v>
      </c>
      <c r="C975" s="3">
        <v>0</v>
      </c>
    </row>
    <row r="976" spans="2:3" hidden="1">
      <c r="B976" s="3" t="s">
        <v>84</v>
      </c>
      <c r="C976" s="3">
        <v>0</v>
      </c>
    </row>
    <row r="977" spans="2:3" hidden="1">
      <c r="B977" s="3" t="s">
        <v>85</v>
      </c>
      <c r="C977" s="3">
        <v>0</v>
      </c>
    </row>
    <row r="978" spans="2:3" hidden="1">
      <c r="B978" s="3" t="s">
        <v>86</v>
      </c>
      <c r="C978" s="3">
        <v>20</v>
      </c>
    </row>
    <row r="979" spans="2:3" hidden="1">
      <c r="B979" s="3" t="s">
        <v>87</v>
      </c>
      <c r="C979" s="3">
        <v>35</v>
      </c>
    </row>
    <row r="980" spans="2:3" hidden="1">
      <c r="B980" s="3" t="s">
        <v>88</v>
      </c>
      <c r="C980" s="3">
        <v>0</v>
      </c>
    </row>
    <row r="981" spans="2:3" hidden="1">
      <c r="B981" s="3" t="s">
        <v>89</v>
      </c>
      <c r="C981" s="3">
        <v>0</v>
      </c>
    </row>
    <row r="982" spans="2:3" hidden="1">
      <c r="B982" s="3" t="s">
        <v>90</v>
      </c>
      <c r="C982" s="3">
        <v>0</v>
      </c>
    </row>
    <row r="983" spans="2:3" hidden="1">
      <c r="B983" s="3" t="s">
        <v>91</v>
      </c>
      <c r="C983" s="3">
        <v>0</v>
      </c>
    </row>
    <row r="984" spans="2:3" hidden="1">
      <c r="B984" s="3" t="s">
        <v>92</v>
      </c>
      <c r="C984" s="3">
        <v>0</v>
      </c>
    </row>
    <row r="985" spans="2:3" hidden="1">
      <c r="B985" s="3" t="s">
        <v>93</v>
      </c>
      <c r="C985" s="3">
        <v>0</v>
      </c>
    </row>
    <row r="986" spans="2:3" hidden="1">
      <c r="B986" s="3" t="s">
        <v>94</v>
      </c>
      <c r="C986" s="3">
        <v>0.49</v>
      </c>
    </row>
    <row r="987" spans="2:3" hidden="1">
      <c r="B987" s="3" t="s">
        <v>95</v>
      </c>
      <c r="C987" s="3">
        <v>0.4</v>
      </c>
    </row>
    <row r="988" spans="2:3" hidden="1">
      <c r="B988" s="3" t="s">
        <v>96</v>
      </c>
      <c r="C988" s="3">
        <v>0</v>
      </c>
    </row>
    <row r="989" spans="2:3" hidden="1">
      <c r="B989" s="3" t="s">
        <v>97</v>
      </c>
      <c r="C989" s="3">
        <v>0</v>
      </c>
    </row>
    <row r="990" spans="2:3" hidden="1">
      <c r="B990" s="3" t="s">
        <v>98</v>
      </c>
      <c r="C990" s="3">
        <v>0</v>
      </c>
    </row>
    <row r="991" spans="2:3" hidden="1">
      <c r="B991" s="3" t="s">
        <v>99</v>
      </c>
      <c r="C991" s="3">
        <v>0</v>
      </c>
    </row>
    <row r="992" spans="2:3" hidden="1">
      <c r="B992" s="3" t="s">
        <v>100</v>
      </c>
      <c r="C992" s="3">
        <v>0</v>
      </c>
    </row>
    <row r="993" spans="2:3" hidden="1">
      <c r="B993" s="3" t="s">
        <v>101</v>
      </c>
      <c r="C993" s="3">
        <v>0</v>
      </c>
    </row>
    <row r="994" spans="2:3" hidden="1">
      <c r="B994" s="3" t="s">
        <v>102</v>
      </c>
      <c r="C994" s="3">
        <v>1</v>
      </c>
    </row>
    <row r="995" spans="2:3" hidden="1">
      <c r="B995" s="3" t="s">
        <v>103</v>
      </c>
      <c r="C995" s="3">
        <v>0</v>
      </c>
    </row>
    <row r="996" spans="2:3" hidden="1">
      <c r="B996" s="3" t="s">
        <v>104</v>
      </c>
      <c r="C996" s="3">
        <v>0</v>
      </c>
    </row>
    <row r="997" spans="2:3" hidden="1">
      <c r="B997" s="3" t="s">
        <v>105</v>
      </c>
      <c r="C997" s="3">
        <v>1</v>
      </c>
    </row>
    <row r="998" spans="2:3" hidden="1">
      <c r="B998" s="3" t="s">
        <v>106</v>
      </c>
      <c r="C998" s="3">
        <v>0</v>
      </c>
    </row>
    <row r="999" spans="2:3" hidden="1">
      <c r="B999" s="3" t="s">
        <v>107</v>
      </c>
      <c r="C999" s="3">
        <v>0</v>
      </c>
    </row>
    <row r="1000" spans="2:3" hidden="1">
      <c r="B1000" s="3" t="s">
        <v>108</v>
      </c>
      <c r="C1000" s="3">
        <v>0</v>
      </c>
    </row>
    <row r="1001" spans="2:3" hidden="1">
      <c r="B1001" s="3" t="s">
        <v>109</v>
      </c>
      <c r="C1001" s="3">
        <v>0</v>
      </c>
    </row>
    <row r="1002" spans="2:3" hidden="1">
      <c r="B1002" s="3" t="s">
        <v>110</v>
      </c>
      <c r="C1002" s="3">
        <v>8.75</v>
      </c>
    </row>
    <row r="1003" spans="2:3" hidden="1">
      <c r="B1003" s="3" t="s">
        <v>111</v>
      </c>
      <c r="C1003" s="3">
        <v>0</v>
      </c>
    </row>
    <row r="1004" spans="2:3" hidden="1">
      <c r="B1004" s="3" t="s">
        <v>112</v>
      </c>
      <c r="C1004" s="3">
        <v>0</v>
      </c>
    </row>
    <row r="1005" spans="2:3" hidden="1">
      <c r="B1005" s="3" t="s">
        <v>113</v>
      </c>
      <c r="C1005" s="3">
        <v>0</v>
      </c>
    </row>
    <row r="1006" spans="2:3" hidden="1">
      <c r="B1006" s="3" t="s">
        <v>114</v>
      </c>
      <c r="C1006" s="3">
        <v>0</v>
      </c>
    </row>
    <row r="1007" spans="2:3" hidden="1">
      <c r="B1007" s="3" t="s">
        <v>115</v>
      </c>
      <c r="C1007" s="3">
        <v>0</v>
      </c>
    </row>
    <row r="1008" spans="2:3" hidden="1">
      <c r="B1008" s="3" t="s">
        <v>116</v>
      </c>
      <c r="C1008" s="3">
        <v>0</v>
      </c>
    </row>
    <row r="1009" spans="2:3" hidden="1">
      <c r="B1009" s="3" t="s">
        <v>117</v>
      </c>
      <c r="C1009" s="3">
        <v>0</v>
      </c>
    </row>
    <row r="1010" spans="2:3" hidden="1">
      <c r="B1010" s="3" t="s">
        <v>118</v>
      </c>
      <c r="C1010" s="3">
        <v>0</v>
      </c>
    </row>
    <row r="1011" spans="2:3" hidden="1">
      <c r="B1011" s="3" t="s">
        <v>119</v>
      </c>
      <c r="C1011" s="3">
        <v>0</v>
      </c>
    </row>
    <row r="1012" spans="2:3" hidden="1">
      <c r="B1012" s="3" t="s">
        <v>120</v>
      </c>
      <c r="C1012" s="3">
        <v>0</v>
      </c>
    </row>
    <row r="1013" spans="2:3" hidden="1">
      <c r="B1013" s="3" t="s">
        <v>121</v>
      </c>
      <c r="C1013" s="3">
        <v>0</v>
      </c>
    </row>
    <row r="1014" spans="2:3" hidden="1">
      <c r="B1014" s="3" t="s">
        <v>122</v>
      </c>
      <c r="C1014" s="3">
        <v>0</v>
      </c>
    </row>
    <row r="1015" spans="2:3" hidden="1">
      <c r="B1015" s="3" t="s">
        <v>123</v>
      </c>
      <c r="C1015" s="3">
        <v>0</v>
      </c>
    </row>
    <row r="1016" spans="2:3" hidden="1">
      <c r="B1016" s="3" t="s">
        <v>124</v>
      </c>
      <c r="C1016" s="3">
        <v>0</v>
      </c>
    </row>
    <row r="1017" spans="2:3" hidden="1">
      <c r="B1017" s="3" t="s">
        <v>125</v>
      </c>
      <c r="C1017" s="3">
        <v>0.5</v>
      </c>
    </row>
    <row r="1018" spans="2:3" hidden="1">
      <c r="B1018" s="3" t="s">
        <v>126</v>
      </c>
      <c r="C1018" s="3">
        <v>13.5</v>
      </c>
    </row>
    <row r="1019" spans="2:3" hidden="1">
      <c r="B1019" s="3" t="s">
        <v>127</v>
      </c>
      <c r="C1019" s="3">
        <v>18</v>
      </c>
    </row>
    <row r="1020" spans="2:3" hidden="1">
      <c r="B1020" s="3" t="s">
        <v>128</v>
      </c>
      <c r="C1020" s="3">
        <v>0</v>
      </c>
    </row>
    <row r="1021" spans="2:3" hidden="1">
      <c r="B1021" s="3" t="s">
        <v>129</v>
      </c>
      <c r="C1021" s="3">
        <v>0</v>
      </c>
    </row>
    <row r="1022" spans="2:3" hidden="1">
      <c r="B1022" s="3" t="s">
        <v>130</v>
      </c>
      <c r="C1022" s="3">
        <v>0</v>
      </c>
    </row>
    <row r="1023" spans="2:3" hidden="1">
      <c r="B1023" s="3" t="s">
        <v>131</v>
      </c>
      <c r="C1023" s="3">
        <v>3600</v>
      </c>
    </row>
    <row r="1024" spans="2:3" hidden="1">
      <c r="B1024" s="3" t="s">
        <v>132</v>
      </c>
      <c r="C1024" s="3">
        <v>0</v>
      </c>
    </row>
    <row r="1025" spans="2:3" hidden="1">
      <c r="B1025" s="3" t="s">
        <v>133</v>
      </c>
      <c r="C1025" s="3">
        <v>0</v>
      </c>
    </row>
    <row r="1026" spans="2:3" hidden="1">
      <c r="B1026" s="3" t="s">
        <v>134</v>
      </c>
      <c r="C1026" s="3">
        <v>0</v>
      </c>
    </row>
    <row r="1027" spans="2:3" hidden="1">
      <c r="B1027" s="3" t="s">
        <v>135</v>
      </c>
      <c r="C1027" s="3">
        <v>0</v>
      </c>
    </row>
    <row r="1028" spans="2:3" hidden="1">
      <c r="B1028" s="3" t="s">
        <v>136</v>
      </c>
      <c r="C1028" s="3">
        <v>6</v>
      </c>
    </row>
    <row r="1029" spans="2:3" hidden="1">
      <c r="B1029" s="3" t="s">
        <v>137</v>
      </c>
      <c r="C1029" s="3">
        <v>3.65</v>
      </c>
    </row>
    <row r="1030" spans="2:3" hidden="1">
      <c r="B1030" s="3" t="s">
        <v>138</v>
      </c>
      <c r="C1030" s="3">
        <v>3.38</v>
      </c>
    </row>
    <row r="1031" spans="2:3" hidden="1">
      <c r="B1031" s="3" t="s">
        <v>139</v>
      </c>
      <c r="C1031" s="3">
        <v>0</v>
      </c>
    </row>
    <row r="1032" spans="2:3" hidden="1">
      <c r="B1032" s="3" t="s">
        <v>140</v>
      </c>
      <c r="C1032" s="3">
        <v>0</v>
      </c>
    </row>
    <row r="1033" spans="2:3" hidden="1">
      <c r="B1033" s="3" t="s">
        <v>141</v>
      </c>
      <c r="C1033" s="3">
        <v>0</v>
      </c>
    </row>
    <row r="1034" spans="2:3" hidden="1">
      <c r="B1034" s="3" t="s">
        <v>142</v>
      </c>
      <c r="C1034" s="3">
        <v>0</v>
      </c>
    </row>
    <row r="1035" spans="2:3" hidden="1">
      <c r="B1035" s="3" t="s">
        <v>143</v>
      </c>
      <c r="C1035" s="3">
        <v>0</v>
      </c>
    </row>
    <row r="1036" spans="2:3" hidden="1">
      <c r="B1036" s="3" t="s">
        <v>144</v>
      </c>
      <c r="C1036" s="3">
        <v>0</v>
      </c>
    </row>
    <row r="1037" spans="2:3" hidden="1">
      <c r="B1037" s="3" t="s">
        <v>145</v>
      </c>
      <c r="C1037" s="3">
        <v>0</v>
      </c>
    </row>
    <row r="1038" spans="2:3" hidden="1">
      <c r="B1038" s="3" t="s">
        <v>146</v>
      </c>
      <c r="C1038" s="3">
        <v>0</v>
      </c>
    </row>
    <row r="1039" spans="2:3" hidden="1">
      <c r="B1039" s="3" t="s">
        <v>147</v>
      </c>
      <c r="C1039" s="3">
        <v>0</v>
      </c>
    </row>
    <row r="1040" spans="2:3" hidden="1">
      <c r="B1040" s="3" t="s">
        <v>148</v>
      </c>
      <c r="C1040" s="3">
        <v>5</v>
      </c>
    </row>
    <row r="1041" spans="2:3" hidden="1">
      <c r="B1041" s="3" t="s">
        <v>149</v>
      </c>
      <c r="C1041" s="3">
        <v>0</v>
      </c>
    </row>
    <row r="1042" spans="2:3" hidden="1">
      <c r="B1042" s="3" t="s">
        <v>150</v>
      </c>
      <c r="C1042" s="3">
        <v>0</v>
      </c>
    </row>
    <row r="1043" spans="2:3" hidden="1">
      <c r="B1043" s="3" t="s">
        <v>151</v>
      </c>
      <c r="C1043" s="3">
        <v>0</v>
      </c>
    </row>
    <row r="1044" spans="2:3" hidden="1">
      <c r="B1044" s="3" t="s">
        <v>152</v>
      </c>
      <c r="C1044" s="3">
        <v>6800</v>
      </c>
    </row>
    <row r="1045" spans="2:3" hidden="1">
      <c r="B1045" s="3" t="s">
        <v>153</v>
      </c>
      <c r="C1045" s="3">
        <v>0</v>
      </c>
    </row>
    <row r="1046" spans="2:3" hidden="1">
      <c r="B1046" s="3" t="s">
        <v>154</v>
      </c>
      <c r="C1046" s="3">
        <v>0</v>
      </c>
    </row>
    <row r="1047" spans="2:3" hidden="1">
      <c r="B1047" s="3" t="s">
        <v>155</v>
      </c>
      <c r="C1047" s="3">
        <v>8500</v>
      </c>
    </row>
    <row r="1048" spans="2:3" hidden="1">
      <c r="B1048" s="3" t="s">
        <v>156</v>
      </c>
      <c r="C1048" s="3">
        <v>0</v>
      </c>
    </row>
    <row r="1049" spans="2:3" hidden="1">
      <c r="B1049" s="3" t="s">
        <v>157</v>
      </c>
      <c r="C1049" s="3">
        <v>15000</v>
      </c>
    </row>
    <row r="1050" spans="2:3" hidden="1">
      <c r="B1050" s="3" t="s">
        <v>158</v>
      </c>
      <c r="C1050" s="3">
        <v>3</v>
      </c>
    </row>
    <row r="1051" spans="2:3" hidden="1">
      <c r="B1051" s="3" t="s">
        <v>159</v>
      </c>
      <c r="C1051" s="3">
        <v>0</v>
      </c>
    </row>
    <row r="1052" spans="2:3" hidden="1">
      <c r="B1052" s="3" t="s">
        <v>160</v>
      </c>
      <c r="C1052" s="3">
        <v>0</v>
      </c>
    </row>
    <row r="1053" spans="2:3" hidden="1">
      <c r="B1053" s="3" t="s">
        <v>161</v>
      </c>
      <c r="C1053" s="3">
        <v>0</v>
      </c>
    </row>
    <row r="1054" spans="2:3" hidden="1">
      <c r="B1054" s="3" t="s">
        <v>162</v>
      </c>
      <c r="C1054" s="3">
        <v>0</v>
      </c>
    </row>
    <row r="1055" spans="2:3" hidden="1">
      <c r="B1055" s="3" t="s">
        <v>163</v>
      </c>
      <c r="C1055" s="3">
        <v>0</v>
      </c>
    </row>
    <row r="1056" spans="2:3" hidden="1">
      <c r="B1056" s="3" t="s">
        <v>164</v>
      </c>
      <c r="C1056" s="3">
        <v>0</v>
      </c>
    </row>
    <row r="1057" spans="2:3" hidden="1">
      <c r="B1057" s="3" t="s">
        <v>165</v>
      </c>
      <c r="C1057" s="3">
        <v>0</v>
      </c>
    </row>
    <row r="1058" spans="2:3" hidden="1">
      <c r="B1058" s="3" t="s">
        <v>166</v>
      </c>
      <c r="C1058" s="3">
        <v>0</v>
      </c>
    </row>
    <row r="1059" spans="2:3" hidden="1">
      <c r="B1059" s="3" t="s">
        <v>167</v>
      </c>
      <c r="C1059" s="3">
        <v>0</v>
      </c>
    </row>
    <row r="1060" spans="2:3" hidden="1">
      <c r="B1060" s="3" t="s">
        <v>168</v>
      </c>
      <c r="C1060" s="3">
        <v>0</v>
      </c>
    </row>
    <row r="1061" spans="2:3" hidden="1">
      <c r="B1061" s="3" t="s">
        <v>169</v>
      </c>
      <c r="C1061" s="3">
        <v>0</v>
      </c>
    </row>
    <row r="1062" spans="2:3" hidden="1">
      <c r="B1062" s="3" t="s">
        <v>170</v>
      </c>
      <c r="C1062" s="3">
        <v>0</v>
      </c>
    </row>
    <row r="1063" spans="2:3" hidden="1">
      <c r="B1063" s="3" t="s">
        <v>171</v>
      </c>
      <c r="C1063" s="3">
        <v>0</v>
      </c>
    </row>
    <row r="1064" spans="2:3" hidden="1">
      <c r="B1064" s="3" t="s">
        <v>172</v>
      </c>
      <c r="C1064" s="3">
        <v>0</v>
      </c>
    </row>
    <row r="1065" spans="2:3" hidden="1">
      <c r="B1065" s="3" t="s">
        <v>173</v>
      </c>
      <c r="C1065" s="3">
        <v>0</v>
      </c>
    </row>
    <row r="1066" spans="2:3" hidden="1">
      <c r="B1066" s="3" t="s">
        <v>174</v>
      </c>
      <c r="C1066" s="3">
        <v>0</v>
      </c>
    </row>
    <row r="1067" spans="2:3" hidden="1">
      <c r="B1067" s="3" t="s">
        <v>175</v>
      </c>
      <c r="C1067" s="3">
        <v>0</v>
      </c>
    </row>
    <row r="1068" spans="2:3" hidden="1">
      <c r="B1068" s="3" t="s">
        <v>176</v>
      </c>
      <c r="C1068" s="3">
        <v>0</v>
      </c>
    </row>
    <row r="1069" spans="2:3" hidden="1">
      <c r="B1069" s="3" t="s">
        <v>177</v>
      </c>
      <c r="C1069" s="3">
        <v>0</v>
      </c>
    </row>
    <row r="1070" spans="2:3" hidden="1">
      <c r="B1070" s="3" t="s">
        <v>178</v>
      </c>
      <c r="C1070" s="3">
        <v>0</v>
      </c>
    </row>
    <row r="1071" spans="2:3" hidden="1">
      <c r="B1071" s="3" t="s">
        <v>179</v>
      </c>
      <c r="C1071" s="3">
        <v>0</v>
      </c>
    </row>
    <row r="1072" spans="2:3" hidden="1">
      <c r="B1072" s="3" t="s">
        <v>180</v>
      </c>
      <c r="C1072" s="3">
        <v>0</v>
      </c>
    </row>
    <row r="1073" spans="2:3" hidden="1">
      <c r="B1073" s="3" t="s">
        <v>181</v>
      </c>
      <c r="C1073" s="3">
        <v>0</v>
      </c>
    </row>
    <row r="1074" spans="2:3" hidden="1">
      <c r="B1074" s="3" t="s">
        <v>182</v>
      </c>
      <c r="C1074" s="3">
        <v>0</v>
      </c>
    </row>
    <row r="1075" spans="2:3" hidden="1">
      <c r="B1075" s="3" t="s">
        <v>183</v>
      </c>
      <c r="C1075" s="3">
        <v>0</v>
      </c>
    </row>
    <row r="1076" spans="2:3" hidden="1">
      <c r="B1076" s="3" t="s">
        <v>184</v>
      </c>
      <c r="C1076" s="3">
        <v>0</v>
      </c>
    </row>
    <row r="1077" spans="2:3" hidden="1">
      <c r="B1077" s="3" t="s">
        <v>185</v>
      </c>
      <c r="C1077" s="3">
        <v>0</v>
      </c>
    </row>
    <row r="1078" spans="2:3" hidden="1">
      <c r="B1078" s="3" t="s">
        <v>186</v>
      </c>
      <c r="C1078" s="3">
        <v>0</v>
      </c>
    </row>
    <row r="1079" spans="2:3" hidden="1">
      <c r="B1079" s="3" t="s">
        <v>187</v>
      </c>
      <c r="C1079" s="3">
        <v>0</v>
      </c>
    </row>
    <row r="1080" spans="2:3" hidden="1">
      <c r="B1080" s="3" t="s">
        <v>188</v>
      </c>
      <c r="C1080" s="3">
        <v>0</v>
      </c>
    </row>
    <row r="1081" spans="2:3" hidden="1">
      <c r="B1081" s="3" t="s">
        <v>189</v>
      </c>
      <c r="C1081" s="3">
        <v>0</v>
      </c>
    </row>
    <row r="1082" spans="2:3" hidden="1">
      <c r="B1082" s="3" t="s">
        <v>190</v>
      </c>
      <c r="C1082" s="3">
        <v>0</v>
      </c>
    </row>
    <row r="1083" spans="2:3" hidden="1">
      <c r="B1083" s="3" t="s">
        <v>191</v>
      </c>
      <c r="C1083" s="3" t="s">
        <v>192</v>
      </c>
    </row>
    <row r="1084" spans="2:3" hidden="1">
      <c r="B1084" s="3" t="s">
        <v>193</v>
      </c>
      <c r="C1084" s="3" t="s">
        <v>194</v>
      </c>
    </row>
    <row r="1085" spans="2:3" hidden="1">
      <c r="B1085" s="3" t="s">
        <v>195</v>
      </c>
      <c r="C1085" s="3" t="s">
        <v>196</v>
      </c>
    </row>
    <row r="1086" spans="2:3" hidden="1">
      <c r="B1086" s="3" t="s">
        <v>197</v>
      </c>
      <c r="C1086" s="3" t="s">
        <v>198</v>
      </c>
    </row>
    <row r="1087" spans="2:3" hidden="1">
      <c r="B1087" s="3" t="s">
        <v>199</v>
      </c>
      <c r="C1087" s="3" t="s">
        <v>200</v>
      </c>
    </row>
    <row r="1088" spans="2:3" hidden="1">
      <c r="B1088" s="3" t="s">
        <v>201</v>
      </c>
      <c r="C1088" s="3" t="s">
        <v>202</v>
      </c>
    </row>
    <row r="1089" spans="2:3" hidden="1">
      <c r="B1089" s="3" t="s">
        <v>203</v>
      </c>
      <c r="C1089" s="3" t="s">
        <v>204</v>
      </c>
    </row>
    <row r="1090" spans="2:3" hidden="1">
      <c r="B1090" s="3" t="s">
        <v>205</v>
      </c>
      <c r="C1090" s="3" t="s">
        <v>206</v>
      </c>
    </row>
    <row r="1091" spans="2:3" hidden="1">
      <c r="B1091" s="3" t="s">
        <v>207</v>
      </c>
      <c r="C1091" s="3" t="s">
        <v>208</v>
      </c>
    </row>
    <row r="1092" spans="2:3" hidden="1">
      <c r="B1092" s="3" t="s">
        <v>209</v>
      </c>
      <c r="C1092" s="3" t="s">
        <v>210</v>
      </c>
    </row>
    <row r="1093" spans="2:3" hidden="1">
      <c r="B1093" s="3" t="s">
        <v>211</v>
      </c>
      <c r="C1093" s="3" t="s">
        <v>212</v>
      </c>
    </row>
    <row r="1094" spans="2:3" hidden="1">
      <c r="B1094" s="3" t="s">
        <v>213</v>
      </c>
      <c r="C1094" s="3" t="s">
        <v>214</v>
      </c>
    </row>
    <row r="1095" spans="2:3" hidden="1">
      <c r="B1095" s="3" t="s">
        <v>215</v>
      </c>
      <c r="C1095" s="3" t="s">
        <v>212</v>
      </c>
    </row>
    <row r="1096" spans="2:3" hidden="1">
      <c r="B1096" s="3" t="s">
        <v>216</v>
      </c>
      <c r="C1096" s="3" t="s">
        <v>204</v>
      </c>
    </row>
    <row r="1097" spans="2:3" hidden="1">
      <c r="B1097" s="3" t="s">
        <v>217</v>
      </c>
      <c r="C1097" s="3" t="s">
        <v>192</v>
      </c>
    </row>
    <row r="1098" spans="2:3" hidden="1">
      <c r="B1098" s="3" t="s">
        <v>218</v>
      </c>
      <c r="C1098" s="3" t="s">
        <v>212</v>
      </c>
    </row>
    <row r="1099" spans="2:3" hidden="1">
      <c r="B1099" s="3" t="s">
        <v>219</v>
      </c>
      <c r="C1099" s="3" t="s">
        <v>212</v>
      </c>
    </row>
    <row r="1100" spans="2:3" hidden="1">
      <c r="B1100" s="3" t="s">
        <v>220</v>
      </c>
      <c r="C1100" s="3" t="s">
        <v>200</v>
      </c>
    </row>
    <row r="1101" spans="2:3" hidden="1">
      <c r="B1101" s="3" t="s">
        <v>221</v>
      </c>
      <c r="C1101" s="3" t="s">
        <v>222</v>
      </c>
    </row>
    <row r="1102" spans="2:3" hidden="1">
      <c r="B1102" s="3" t="s">
        <v>223</v>
      </c>
      <c r="C1102" s="3" t="s">
        <v>196</v>
      </c>
    </row>
    <row r="1103" spans="2:3" hidden="1">
      <c r="B1103" s="3" t="s">
        <v>224</v>
      </c>
      <c r="C1103" s="3" t="s">
        <v>222</v>
      </c>
    </row>
    <row r="1104" spans="2:3" hidden="1">
      <c r="B1104" s="3" t="s">
        <v>225</v>
      </c>
      <c r="C1104" s="3" t="s">
        <v>226</v>
      </c>
    </row>
    <row r="1105" spans="2:3" hidden="1">
      <c r="B1105" s="3" t="s">
        <v>227</v>
      </c>
      <c r="C1105" s="3" t="s">
        <v>228</v>
      </c>
    </row>
    <row r="1106" spans="2:3" hidden="1">
      <c r="B1106" s="3" t="s">
        <v>229</v>
      </c>
      <c r="C1106" s="3" t="s">
        <v>230</v>
      </c>
    </row>
    <row r="1107" spans="2:3" hidden="1">
      <c r="B1107" s="3" t="s">
        <v>231</v>
      </c>
      <c r="C1107" s="3" t="s">
        <v>192</v>
      </c>
    </row>
    <row r="1108" spans="2:3" hidden="1">
      <c r="B1108" s="3" t="s">
        <v>232</v>
      </c>
      <c r="C1108" s="3" t="s">
        <v>200</v>
      </c>
    </row>
    <row r="1109" spans="2:3" hidden="1">
      <c r="B1109" s="3" t="s">
        <v>233</v>
      </c>
      <c r="C1109" s="3" t="s">
        <v>234</v>
      </c>
    </row>
    <row r="1110" spans="2:3" hidden="1">
      <c r="B1110" s="3" t="s">
        <v>235</v>
      </c>
      <c r="C1110" s="3" t="s">
        <v>236</v>
      </c>
    </row>
    <row r="1111" spans="2:3" hidden="1">
      <c r="B1111" s="3" t="s">
        <v>237</v>
      </c>
      <c r="C1111" s="3">
        <v>0</v>
      </c>
    </row>
    <row r="1112" spans="2:3" hidden="1">
      <c r="B1112" s="3" t="s">
        <v>238</v>
      </c>
      <c r="C1112" s="3">
        <v>0</v>
      </c>
    </row>
    <row r="1113" spans="2:3" hidden="1">
      <c r="B1113" s="3" t="s">
        <v>239</v>
      </c>
      <c r="C1113" s="3">
        <v>0</v>
      </c>
    </row>
    <row r="1114" spans="2:3" hidden="1">
      <c r="B1114" s="3" t="s">
        <v>240</v>
      </c>
      <c r="C1114" s="3">
        <v>0</v>
      </c>
    </row>
    <row r="1115" spans="2:3" hidden="1">
      <c r="B1115" s="3" t="s">
        <v>242</v>
      </c>
      <c r="C1115" s="3">
        <v>0</v>
      </c>
    </row>
    <row r="1116" spans="2:3" hidden="1">
      <c r="B1116" s="3" t="s">
        <v>243</v>
      </c>
      <c r="C1116" s="3">
        <v>0</v>
      </c>
    </row>
    <row r="1117" spans="2:3" hidden="1">
      <c r="B1117" s="3" t="s">
        <v>244</v>
      </c>
      <c r="C1117" s="3">
        <v>0</v>
      </c>
    </row>
    <row r="1118" spans="2:3" hidden="1">
      <c r="B1118" s="3" t="s">
        <v>245</v>
      </c>
      <c r="C1118" s="3">
        <v>0</v>
      </c>
    </row>
    <row r="1119" spans="2:3" hidden="1">
      <c r="B1119" s="3" t="s">
        <v>246</v>
      </c>
      <c r="C1119" s="3">
        <v>0</v>
      </c>
    </row>
    <row r="1120" spans="2:3" hidden="1">
      <c r="B1120" s="3" t="s">
        <v>247</v>
      </c>
      <c r="C1120" s="3">
        <v>0</v>
      </c>
    </row>
    <row r="1121" spans="2:3" hidden="1">
      <c r="B1121" s="3" t="s">
        <v>248</v>
      </c>
      <c r="C1121" s="3">
        <v>0</v>
      </c>
    </row>
    <row r="1122" spans="2:3" hidden="1">
      <c r="B1122" s="3" t="s">
        <v>249</v>
      </c>
      <c r="C1122" s="3" t="s">
        <v>250</v>
      </c>
    </row>
    <row r="1123" spans="2:3" hidden="1">
      <c r="B1123" s="3" t="s">
        <v>251</v>
      </c>
      <c r="C1123" s="3">
        <v>0</v>
      </c>
    </row>
    <row r="1124" spans="2:3" hidden="1">
      <c r="B1124" s="3" t="s">
        <v>252</v>
      </c>
      <c r="C1124" s="3">
        <v>0</v>
      </c>
    </row>
    <row r="1125" spans="2:3" hidden="1">
      <c r="B1125" s="3" t="s">
        <v>253</v>
      </c>
      <c r="C1125" s="3">
        <v>0</v>
      </c>
    </row>
    <row r="1126" spans="2:3" hidden="1">
      <c r="B1126" s="3" t="s">
        <v>254</v>
      </c>
      <c r="C1126" s="3">
        <v>0</v>
      </c>
    </row>
    <row r="1127" spans="2:3" hidden="1">
      <c r="B1127" s="3" t="s">
        <v>255</v>
      </c>
      <c r="C1127" s="3">
        <v>0</v>
      </c>
    </row>
    <row r="1128" spans="2:3" hidden="1">
      <c r="B1128" s="3" t="s">
        <v>256</v>
      </c>
      <c r="C1128" s="3">
        <v>0</v>
      </c>
    </row>
    <row r="1129" spans="2:3" hidden="1">
      <c r="B1129" s="3" t="s">
        <v>257</v>
      </c>
      <c r="C1129" s="3">
        <v>0</v>
      </c>
    </row>
    <row r="1130" spans="2:3" hidden="1">
      <c r="B1130" s="3" t="s">
        <v>258</v>
      </c>
      <c r="C1130" s="3" t="s">
        <v>259</v>
      </c>
    </row>
    <row r="1131" spans="2:3" hidden="1">
      <c r="B1131" s="3" t="s">
        <v>260</v>
      </c>
      <c r="C1131" s="3">
        <v>0</v>
      </c>
    </row>
    <row r="1132" spans="2:3" hidden="1">
      <c r="B1132" s="3" t="s">
        <v>261</v>
      </c>
      <c r="C1132" s="3">
        <v>0</v>
      </c>
    </row>
    <row r="1133" spans="2:3" hidden="1">
      <c r="B1133" s="3" t="s">
        <v>262</v>
      </c>
      <c r="C1133" s="3">
        <v>0</v>
      </c>
    </row>
    <row r="1134" spans="2:3" hidden="1">
      <c r="B1134" s="3" t="s">
        <v>263</v>
      </c>
      <c r="C1134" s="3">
        <v>0</v>
      </c>
    </row>
    <row r="1135" spans="2:3" hidden="1">
      <c r="B1135" s="3" t="s">
        <v>264</v>
      </c>
      <c r="C1135" s="3">
        <v>0</v>
      </c>
    </row>
    <row r="1136" spans="2:3" hidden="1">
      <c r="B1136" s="3" t="s">
        <v>265</v>
      </c>
      <c r="C1136" s="3">
        <v>0</v>
      </c>
    </row>
    <row r="1137" spans="2:3" hidden="1">
      <c r="B1137" s="3" t="s">
        <v>266</v>
      </c>
      <c r="C1137" s="3">
        <v>0</v>
      </c>
    </row>
    <row r="1138" spans="2:3" hidden="1">
      <c r="B1138" s="3" t="s">
        <v>267</v>
      </c>
      <c r="C1138" s="3">
        <v>0</v>
      </c>
    </row>
    <row r="1139" spans="2:3" hidden="1">
      <c r="B1139" s="3" t="s">
        <v>268</v>
      </c>
      <c r="C1139" s="3">
        <v>0</v>
      </c>
    </row>
    <row r="1140" spans="2:3" hidden="1">
      <c r="B1140" s="3" t="s">
        <v>269</v>
      </c>
      <c r="C1140" s="3">
        <v>0</v>
      </c>
    </row>
    <row r="1141" spans="2:3" hidden="1">
      <c r="B1141" s="3" t="s">
        <v>270</v>
      </c>
      <c r="C1141" s="3">
        <v>0</v>
      </c>
    </row>
    <row r="1142" spans="2:3" hidden="1">
      <c r="B1142" s="3" t="s">
        <v>271</v>
      </c>
      <c r="C1142" s="3">
        <v>0</v>
      </c>
    </row>
    <row r="1143" spans="2:3" hidden="1">
      <c r="B1143" s="3" t="s">
        <v>272</v>
      </c>
      <c r="C1143" s="3">
        <v>0</v>
      </c>
    </row>
    <row r="1144" spans="2:3" hidden="1">
      <c r="B1144" s="3" t="s">
        <v>273</v>
      </c>
      <c r="C1144" s="3">
        <v>0</v>
      </c>
    </row>
    <row r="1145" spans="2:3" hidden="1">
      <c r="B1145" s="3" t="s">
        <v>274</v>
      </c>
      <c r="C1145" s="3">
        <v>0</v>
      </c>
    </row>
    <row r="1146" spans="2:3" hidden="1">
      <c r="B1146" s="3" t="s">
        <v>275</v>
      </c>
      <c r="C1146" s="3">
        <v>0</v>
      </c>
    </row>
    <row r="1147" spans="2:3" hidden="1">
      <c r="B1147" s="3" t="s">
        <v>276</v>
      </c>
      <c r="C1147" s="3">
        <v>0</v>
      </c>
    </row>
    <row r="1148" spans="2:3" hidden="1">
      <c r="B1148" s="3" t="s">
        <v>277</v>
      </c>
      <c r="C1148" s="3" t="s">
        <v>241</v>
      </c>
    </row>
    <row r="1149" spans="2:3" hidden="1">
      <c r="B1149" s="3" t="s">
        <v>278</v>
      </c>
      <c r="C1149" s="3">
        <v>0</v>
      </c>
    </row>
    <row r="1150" spans="2:3" hidden="1">
      <c r="B1150" s="3" t="s">
        <v>279</v>
      </c>
      <c r="C1150" s="3">
        <v>0</v>
      </c>
    </row>
    <row r="1151" spans="2:3" hidden="1">
      <c r="B1151" s="3" t="s">
        <v>280</v>
      </c>
      <c r="C1151" s="3">
        <v>0</v>
      </c>
    </row>
    <row r="1152" spans="2:3" hidden="1">
      <c r="B1152" s="3" t="s">
        <v>281</v>
      </c>
      <c r="C1152" s="3">
        <v>0</v>
      </c>
    </row>
    <row r="1153" spans="2:3" hidden="1">
      <c r="B1153" s="3" t="s">
        <v>282</v>
      </c>
      <c r="C1153" s="3">
        <v>0</v>
      </c>
    </row>
    <row r="1154" spans="2:3" hidden="1">
      <c r="B1154" s="3" t="s">
        <v>283</v>
      </c>
      <c r="C1154" s="3">
        <v>0</v>
      </c>
    </row>
    <row r="1155" spans="2:3" hidden="1">
      <c r="B1155" s="3" t="s">
        <v>284</v>
      </c>
      <c r="C1155" s="3">
        <v>0</v>
      </c>
    </row>
    <row r="1156" spans="2:3" hidden="1">
      <c r="B1156" s="3" t="s">
        <v>285</v>
      </c>
      <c r="C1156" s="3">
        <v>0</v>
      </c>
    </row>
    <row r="1157" spans="2:3" hidden="1">
      <c r="B1157" s="3" t="s">
        <v>286</v>
      </c>
      <c r="C1157" s="3">
        <v>0</v>
      </c>
    </row>
    <row r="1158" spans="2:3" hidden="1">
      <c r="B1158" s="3" t="s">
        <v>287</v>
      </c>
      <c r="C1158" s="3">
        <v>0</v>
      </c>
    </row>
    <row r="1159" spans="2:3" hidden="1">
      <c r="B1159" s="3" t="s">
        <v>288</v>
      </c>
      <c r="C1159" s="3">
        <v>0</v>
      </c>
    </row>
    <row r="1160" spans="2:3" hidden="1">
      <c r="B1160" s="3" t="s">
        <v>289</v>
      </c>
      <c r="C1160" s="3">
        <v>1</v>
      </c>
    </row>
    <row r="1161" spans="2:3" hidden="1">
      <c r="B1161" s="3" t="s">
        <v>290</v>
      </c>
      <c r="C1161" s="3">
        <v>0</v>
      </c>
    </row>
    <row r="1162" spans="2:3" hidden="1">
      <c r="B1162" s="3" t="s">
        <v>291</v>
      </c>
      <c r="C1162" s="3">
        <v>0</v>
      </c>
    </row>
    <row r="1163" spans="2:3" hidden="1">
      <c r="B1163" s="3" t="s">
        <v>292</v>
      </c>
      <c r="C1163" s="3">
        <v>0</v>
      </c>
    </row>
    <row r="1164" spans="2:3" hidden="1">
      <c r="B1164" s="3" t="s">
        <v>293</v>
      </c>
      <c r="C1164" s="3">
        <v>0</v>
      </c>
    </row>
    <row r="1165" spans="2:3" hidden="1">
      <c r="B1165" s="3" t="s">
        <v>294</v>
      </c>
      <c r="C1165" s="3">
        <v>0</v>
      </c>
    </row>
    <row r="1166" spans="2:3" hidden="1">
      <c r="B1166" s="3" t="s">
        <v>295</v>
      </c>
      <c r="C1166" s="3">
        <v>0</v>
      </c>
    </row>
    <row r="1167" spans="2:3" hidden="1">
      <c r="B1167" s="3" t="s">
        <v>296</v>
      </c>
      <c r="C1167" s="3">
        <v>0</v>
      </c>
    </row>
    <row r="1168" spans="2:3" hidden="1">
      <c r="B1168" s="3" t="s">
        <v>297</v>
      </c>
      <c r="C1168" s="3">
        <v>1</v>
      </c>
    </row>
    <row r="1169" spans="2:3" hidden="1">
      <c r="B1169" s="3" t="s">
        <v>298</v>
      </c>
      <c r="C1169" s="3">
        <v>0</v>
      </c>
    </row>
    <row r="1170" spans="2:3" hidden="1">
      <c r="B1170" s="3" t="s">
        <v>299</v>
      </c>
      <c r="C1170" s="3">
        <v>0</v>
      </c>
    </row>
    <row r="1171" spans="2:3" hidden="1">
      <c r="B1171" s="3" t="s">
        <v>300</v>
      </c>
      <c r="C1171" s="3">
        <v>0</v>
      </c>
    </row>
    <row r="1172" spans="2:3" hidden="1">
      <c r="B1172" s="3" t="s">
        <v>301</v>
      </c>
      <c r="C1172" s="3">
        <v>0</v>
      </c>
    </row>
    <row r="1173" spans="2:3" hidden="1">
      <c r="B1173" s="3" t="s">
        <v>302</v>
      </c>
      <c r="C1173" s="3">
        <v>0</v>
      </c>
    </row>
    <row r="1174" spans="2:3" hidden="1">
      <c r="B1174" s="3" t="s">
        <v>303</v>
      </c>
      <c r="C1174" s="3">
        <v>0</v>
      </c>
    </row>
    <row r="1175" spans="2:3" hidden="1">
      <c r="B1175" s="3" t="s">
        <v>304</v>
      </c>
      <c r="C1175" s="3">
        <v>0</v>
      </c>
    </row>
    <row r="1176" spans="2:3" hidden="1">
      <c r="B1176" s="3" t="s">
        <v>305</v>
      </c>
      <c r="C1176" s="3">
        <v>0</v>
      </c>
    </row>
    <row r="1177" spans="2:3" hidden="1">
      <c r="B1177" s="3" t="s">
        <v>306</v>
      </c>
      <c r="C1177" s="3">
        <v>0</v>
      </c>
    </row>
    <row r="1178" spans="2:3" hidden="1">
      <c r="B1178" s="3" t="s">
        <v>307</v>
      </c>
      <c r="C1178" s="3">
        <v>0</v>
      </c>
    </row>
    <row r="1179" spans="2:3" hidden="1">
      <c r="B1179" s="3" t="s">
        <v>308</v>
      </c>
      <c r="C1179" s="3">
        <v>0</v>
      </c>
    </row>
    <row r="1180" spans="2:3" hidden="1">
      <c r="B1180" s="3" t="s">
        <v>309</v>
      </c>
      <c r="C1180" s="3">
        <v>0</v>
      </c>
    </row>
    <row r="1181" spans="2:3" hidden="1">
      <c r="B1181" s="3" t="s">
        <v>310</v>
      </c>
      <c r="C1181" s="3">
        <v>0</v>
      </c>
    </row>
    <row r="1182" spans="2:3" hidden="1">
      <c r="B1182" s="3" t="s">
        <v>311</v>
      </c>
      <c r="C1182" s="3">
        <v>0</v>
      </c>
    </row>
    <row r="1183" spans="2:3" hidden="1">
      <c r="B1183" s="3" t="s">
        <v>312</v>
      </c>
      <c r="C1183" s="3">
        <v>0</v>
      </c>
    </row>
    <row r="1184" spans="2:3" hidden="1">
      <c r="B1184" s="3" t="s">
        <v>313</v>
      </c>
      <c r="C1184" s="3">
        <v>0</v>
      </c>
    </row>
    <row r="1185" spans="2:3" hidden="1">
      <c r="B1185" s="3" t="s">
        <v>314</v>
      </c>
      <c r="C1185" s="3">
        <v>0</v>
      </c>
    </row>
    <row r="1186" spans="2:3" hidden="1">
      <c r="B1186" s="3" t="s">
        <v>315</v>
      </c>
      <c r="C1186" s="3">
        <v>0</v>
      </c>
    </row>
    <row r="1187" spans="2:3" hidden="1">
      <c r="B1187" s="3" t="s">
        <v>316</v>
      </c>
      <c r="C1187" s="3">
        <v>1</v>
      </c>
    </row>
    <row r="1188" spans="2:3" hidden="1">
      <c r="B1188" s="3" t="s">
        <v>317</v>
      </c>
      <c r="C1188" s="3">
        <v>0</v>
      </c>
    </row>
    <row r="1189" spans="2:3" hidden="1">
      <c r="B1189" s="3" t="s">
        <v>318</v>
      </c>
      <c r="C1189" s="3">
        <v>0</v>
      </c>
    </row>
    <row r="1190" spans="2:3" hidden="1">
      <c r="B1190" s="3" t="s">
        <v>319</v>
      </c>
      <c r="C1190" s="3">
        <v>0</v>
      </c>
    </row>
    <row r="1191" spans="2:3" hidden="1">
      <c r="B1191" s="3" t="s">
        <v>320</v>
      </c>
      <c r="C1191" s="3">
        <v>0</v>
      </c>
    </row>
    <row r="1192" spans="2:3" hidden="1">
      <c r="B1192" s="3" t="s">
        <v>321</v>
      </c>
      <c r="C1192" s="3">
        <v>0</v>
      </c>
    </row>
    <row r="1193" spans="2:3" hidden="1">
      <c r="B1193" s="3" t="s">
        <v>322</v>
      </c>
      <c r="C1193" s="3">
        <v>0</v>
      </c>
    </row>
    <row r="1194" spans="2:3" hidden="1">
      <c r="B1194" s="3" t="s">
        <v>323</v>
      </c>
      <c r="C1194" s="3">
        <v>0</v>
      </c>
    </row>
    <row r="1195" spans="2:3" hidden="1">
      <c r="B1195" s="3" t="s">
        <v>324</v>
      </c>
      <c r="C1195" s="3">
        <v>0</v>
      </c>
    </row>
    <row r="1196" spans="2:3" hidden="1">
      <c r="B1196" s="3" t="s">
        <v>325</v>
      </c>
      <c r="C1196" s="3">
        <v>0</v>
      </c>
    </row>
    <row r="1197" spans="2:3" hidden="1">
      <c r="B1197" s="3" t="s">
        <v>326</v>
      </c>
      <c r="C1197" s="3">
        <v>0</v>
      </c>
    </row>
    <row r="1198" spans="2:3" hidden="1">
      <c r="B1198" s="3" t="s">
        <v>327</v>
      </c>
      <c r="C1198" s="3">
        <v>0</v>
      </c>
    </row>
    <row r="1199" spans="2:3" hidden="1">
      <c r="B1199" s="3" t="s">
        <v>328</v>
      </c>
      <c r="C1199" s="3">
        <v>0</v>
      </c>
    </row>
    <row r="1200" spans="2:3" hidden="1">
      <c r="B1200" s="3" t="s">
        <v>329</v>
      </c>
      <c r="C1200" s="3">
        <v>0</v>
      </c>
    </row>
    <row r="1201" spans="2:3" hidden="1">
      <c r="B1201" s="3" t="s">
        <v>330</v>
      </c>
      <c r="C1201" s="3">
        <v>0</v>
      </c>
    </row>
    <row r="1202" spans="2:3" hidden="1">
      <c r="B1202" s="3" t="s">
        <v>331</v>
      </c>
      <c r="C1202" s="3">
        <v>0</v>
      </c>
    </row>
    <row r="1203" spans="2:3" hidden="1">
      <c r="B1203" s="3" t="s">
        <v>332</v>
      </c>
      <c r="C1203" s="3">
        <v>0</v>
      </c>
    </row>
    <row r="1204" spans="2:3" hidden="1">
      <c r="B1204" s="3" t="s">
        <v>333</v>
      </c>
      <c r="C1204" s="3">
        <v>0</v>
      </c>
    </row>
    <row r="1205" spans="2:3" hidden="1">
      <c r="B1205" s="3" t="s">
        <v>334</v>
      </c>
      <c r="C1205" s="3">
        <v>0</v>
      </c>
    </row>
    <row r="1206" spans="2:3" hidden="1">
      <c r="B1206" s="3" t="s">
        <v>335</v>
      </c>
      <c r="C1206" s="3">
        <v>0</v>
      </c>
    </row>
    <row r="1207" spans="2:3" hidden="1">
      <c r="B1207" s="3" t="s">
        <v>336</v>
      </c>
      <c r="C1207" s="3">
        <v>0</v>
      </c>
    </row>
    <row r="1208" spans="2:3" hidden="1">
      <c r="B1208" s="3" t="s">
        <v>337</v>
      </c>
      <c r="C1208" s="3">
        <v>0</v>
      </c>
    </row>
    <row r="1209" spans="2:3" hidden="1">
      <c r="B1209" s="3" t="s">
        <v>338</v>
      </c>
      <c r="C1209" s="3">
        <v>0</v>
      </c>
    </row>
    <row r="1210" spans="2:3" hidden="1">
      <c r="B1210" s="3" t="s">
        <v>339</v>
      </c>
      <c r="C1210" s="3">
        <v>0</v>
      </c>
    </row>
    <row r="1211" spans="2:3" hidden="1">
      <c r="B1211" s="3" t="s">
        <v>340</v>
      </c>
      <c r="C1211" s="3">
        <v>0</v>
      </c>
    </row>
    <row r="1212" spans="2:3" hidden="1">
      <c r="B1212" s="3" t="s">
        <v>341</v>
      </c>
      <c r="C1212" s="3">
        <v>0</v>
      </c>
    </row>
    <row r="1213" spans="2:3" hidden="1">
      <c r="B1213" s="3" t="s">
        <v>342</v>
      </c>
      <c r="C1213" s="3">
        <v>0</v>
      </c>
    </row>
    <row r="1214" spans="2:3" hidden="1">
      <c r="B1214" s="3" t="s">
        <v>343</v>
      </c>
      <c r="C1214" s="3">
        <v>0</v>
      </c>
    </row>
    <row r="1215" spans="2:3" hidden="1">
      <c r="B1215" s="3" t="s">
        <v>344</v>
      </c>
      <c r="C1215" s="3">
        <v>0</v>
      </c>
    </row>
    <row r="1216" spans="2:3" hidden="1">
      <c r="B1216" s="3" t="s">
        <v>345</v>
      </c>
      <c r="C1216" s="3">
        <v>0</v>
      </c>
    </row>
    <row r="1217" spans="2:3" hidden="1">
      <c r="B1217" s="3" t="s">
        <v>346</v>
      </c>
      <c r="C1217" s="3">
        <v>0</v>
      </c>
    </row>
    <row r="1218" spans="2:3" hidden="1">
      <c r="B1218" s="3" t="s">
        <v>347</v>
      </c>
      <c r="C1218" s="3">
        <v>0</v>
      </c>
    </row>
    <row r="1219" spans="2:3" hidden="1">
      <c r="B1219" s="3" t="s">
        <v>348</v>
      </c>
      <c r="C1219" s="3">
        <v>0</v>
      </c>
    </row>
    <row r="1220" spans="2:3" hidden="1">
      <c r="B1220" s="3" t="s">
        <v>349</v>
      </c>
      <c r="C1220" s="3">
        <v>0</v>
      </c>
    </row>
    <row r="1221" spans="2:3" hidden="1">
      <c r="B1221" s="3" t="s">
        <v>350</v>
      </c>
      <c r="C1221" s="3">
        <v>0</v>
      </c>
    </row>
    <row r="1222" spans="2:3" hidden="1">
      <c r="B1222" s="3" t="s">
        <v>351</v>
      </c>
      <c r="C1222" s="3">
        <v>0</v>
      </c>
    </row>
    <row r="1223" spans="2:3" hidden="1">
      <c r="B1223" s="3" t="s">
        <v>352</v>
      </c>
      <c r="C1223" s="3">
        <v>0</v>
      </c>
    </row>
    <row r="1224" spans="2:3" hidden="1">
      <c r="B1224" s="3" t="s">
        <v>353</v>
      </c>
      <c r="C1224" s="3">
        <v>0</v>
      </c>
    </row>
    <row r="1225" spans="2:3" hidden="1">
      <c r="B1225" s="3" t="s">
        <v>354</v>
      </c>
      <c r="C1225" s="3">
        <v>0</v>
      </c>
    </row>
    <row r="1226" spans="2:3" hidden="1">
      <c r="B1226" s="3" t="s">
        <v>355</v>
      </c>
      <c r="C1226" s="3">
        <v>0</v>
      </c>
    </row>
    <row r="1227" spans="2:3" hidden="1">
      <c r="B1227" s="3" t="s">
        <v>356</v>
      </c>
      <c r="C1227" s="3">
        <v>0</v>
      </c>
    </row>
    <row r="1228" spans="2:3" hidden="1">
      <c r="B1228" s="3" t="s">
        <v>357</v>
      </c>
      <c r="C1228" s="3">
        <v>0</v>
      </c>
    </row>
  </sheetData>
  <sheetProtection sheet="1" objects="1" scenarios="1"/>
  <protectedRanges>
    <protectedRange sqref="D3 D5:E6 C6 F7:F8 D12:E12 D14:D16 D18 F17 D20:E22 D23:D24 E24 F25:F26 D31 F32 D37 F39 B53:B56 E53:F56 B62:D72" name="Grey cells"/>
  </protectedRanges>
  <mergeCells count="10">
    <mergeCell ref="B59:B60"/>
    <mergeCell ref="C59:C60"/>
    <mergeCell ref="E59:E60"/>
    <mergeCell ref="F59:F60"/>
    <mergeCell ref="I59:I60"/>
    <mergeCell ref="B2:F2"/>
    <mergeCell ref="I4:P4"/>
    <mergeCell ref="H5:H12"/>
    <mergeCell ref="B51:F51"/>
    <mergeCell ref="B58:I58"/>
  </mergeCells>
  <conditionalFormatting sqref="B71:C71">
    <cfRule type="expression" dxfId="59" priority="5" stopIfTrue="1">
      <formula>MID($B71,1,4)="Rent"</formula>
    </cfRule>
  </conditionalFormatting>
  <conditionalFormatting sqref="C30:D31 D32 C33:E33">
    <cfRule type="expression" dxfId="58" priority="6">
      <formula>#REF!="yes"</formula>
    </cfRule>
  </conditionalFormatting>
  <conditionalFormatting sqref="D4">
    <cfRule type="expression" dxfId="57" priority="4">
      <formula>$F$1="no"</formula>
    </cfRule>
  </conditionalFormatting>
  <conditionalFormatting sqref="D11">
    <cfRule type="expression" dxfId="56" priority="3">
      <formula>#REF!="no"</formula>
    </cfRule>
  </conditionalFormatting>
  <conditionalFormatting sqref="D12:E29">
    <cfRule type="expression" dxfId="55" priority="1">
      <formula>#REF!="yes"</formula>
    </cfRule>
  </conditionalFormatting>
  <dataValidations disablePrompts="1" count="1">
    <dataValidation type="list" allowBlank="1" showInputMessage="1" showErrorMessage="1" sqref="F1" xr:uid="{CDE7E28B-FD78-47A6-926B-33DEEB837B20}">
      <formula1>"Yes, No"</formula1>
    </dataValidation>
  </dataValidations>
  <pageMargins left="0.7" right="0.7" top="0.75" bottom="0.75" header="0.3" footer="0.3"/>
  <pageSetup scale="67" orientation="portrait" r:id="rId1"/>
  <headerFooter>
    <oddFooter xml:space="preserve">&amp;C&amp;"Verdana,Regular"&amp;8
</oddFooter>
  </headerFooter>
  <extLst>
    <ext xmlns:x14="http://schemas.microsoft.com/office/spreadsheetml/2009/9/main" uri="{CCE6A557-97BC-4b89-ADB6-D9C93CAAB3DF}">
      <x14:dataValidations xmlns:xm="http://schemas.microsoft.com/office/excel/2006/main" disablePrompts="1" count="4">
        <x14:dataValidation type="list" allowBlank="1" showInputMessage="1" showErrorMessage="1" xr:uid="{346C0370-76D0-41F6-9E3B-214905772C8A}">
          <x14:formula1>
            <xm:f>'Machinery Input Tables'!$C$133:$C$184</xm:f>
          </x14:formula1>
          <xm:sqref>B53:B56</xm:sqref>
        </x14:dataValidation>
        <x14:dataValidation type="list" allowBlank="1" showInputMessage="1" showErrorMessage="1" xr:uid="{BA3241F0-CA3D-4E1F-981F-01B753402713}">
          <x14:formula1>
            <xm:f>'Machinery Input Tables'!$B$6:$B$121</xm:f>
          </x14:formula1>
          <xm:sqref>B62:B72</xm:sqref>
        </x14:dataValidation>
        <x14:dataValidation type="list" allowBlank="1" showInputMessage="1" showErrorMessage="1" xr:uid="{BF8BD9CC-8542-4E3B-A961-C7570EF6CDB7}">
          <x14:formula1>
            <xm:f>'Machinery Input Tables'!$AH$6:$AH$32</xm:f>
          </x14:formula1>
          <xm:sqref>C62:C72</xm:sqref>
        </x14:dataValidation>
        <x14:dataValidation type="list" allowBlank="1" showInputMessage="1" showErrorMessage="1" xr:uid="{3661228F-8B5C-48DF-8FC0-C8065F71B32D}">
          <x14:formula1>
            <xm:f>'Irrigation costs'!$D$2:$G$2</xm:f>
          </x14:formula1>
          <xm:sqref>D3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D35B1-B7DC-45D5-A73D-55C4176E4D2F}">
  <sheetPr>
    <pageSetUpPr fitToPage="1"/>
  </sheetPr>
  <dimension ref="A1:Q1229"/>
  <sheetViews>
    <sheetView showGridLines="0" zoomScaleNormal="100" workbookViewId="0">
      <selection activeCell="B68" sqref="B68"/>
    </sheetView>
  </sheetViews>
  <sheetFormatPr defaultColWidth="0" defaultRowHeight="16.5" zeroHeight="1"/>
  <cols>
    <col min="1" max="1" width="3.125" style="3" customWidth="1"/>
    <col min="2" max="2" width="34.875" style="3" customWidth="1"/>
    <col min="3" max="3" width="20.25" style="3" customWidth="1"/>
    <col min="4" max="5" width="14" style="3" customWidth="1"/>
    <col min="6" max="6" width="12.625" style="3" customWidth="1"/>
    <col min="7" max="7" width="11.75" style="3" customWidth="1"/>
    <col min="8" max="9" width="9" style="3" customWidth="1"/>
    <col min="10" max="10" width="11.625" style="3" customWidth="1"/>
    <col min="11" max="11" width="10.625" style="3" customWidth="1"/>
    <col min="12" max="14" width="9" style="3" customWidth="1"/>
    <col min="15" max="15" width="9.5" style="3" bestFit="1" customWidth="1"/>
    <col min="16" max="16" width="9" style="3" customWidth="1"/>
    <col min="17" max="17" width="3.125" style="3" customWidth="1"/>
    <col min="18" max="16384" width="9" style="3" hidden="1"/>
  </cols>
  <sheetData>
    <row r="1" spans="2:16">
      <c r="F1" s="32"/>
    </row>
    <row r="2" spans="2:16" ht="20.25" customHeight="1">
      <c r="B2" s="299" t="s">
        <v>880</v>
      </c>
      <c r="C2" s="299"/>
      <c r="D2" s="299"/>
      <c r="E2" s="299"/>
      <c r="F2" s="299"/>
      <c r="G2" s="4"/>
    </row>
    <row r="3" spans="2:16" ht="17.25">
      <c r="B3" s="33" t="s">
        <v>687</v>
      </c>
      <c r="C3" s="34"/>
      <c r="D3" s="143" t="s">
        <v>688</v>
      </c>
      <c r="E3" s="34"/>
      <c r="F3" s="36"/>
      <c r="G3" s="37"/>
      <c r="H3" s="38"/>
      <c r="I3" s="39" t="s">
        <v>800</v>
      </c>
      <c r="J3" s="38"/>
      <c r="K3" s="38"/>
      <c r="L3" s="38"/>
      <c r="M3" s="38"/>
      <c r="N3" s="38"/>
      <c r="O3" s="38"/>
      <c r="P3" s="38"/>
    </row>
    <row r="4" spans="2:16" ht="17.25">
      <c r="B4" s="40" t="s">
        <v>370</v>
      </c>
      <c r="C4" s="40" t="s">
        <v>556</v>
      </c>
      <c r="D4" s="41" t="s">
        <v>25</v>
      </c>
      <c r="E4" s="41" t="s">
        <v>854</v>
      </c>
      <c r="F4" s="41" t="s">
        <v>855</v>
      </c>
      <c r="G4" s="37"/>
      <c r="H4" s="42"/>
      <c r="I4" s="300" t="s">
        <v>6</v>
      </c>
      <c r="J4" s="300"/>
      <c r="K4" s="300"/>
      <c r="L4" s="300"/>
      <c r="M4" s="300"/>
      <c r="N4" s="300"/>
      <c r="O4" s="300"/>
      <c r="P4" s="300"/>
    </row>
    <row r="5" spans="2:16" ht="16.5" customHeight="1">
      <c r="B5" s="43" t="s">
        <v>20</v>
      </c>
      <c r="C5" s="187" t="s">
        <v>21</v>
      </c>
      <c r="D5" s="44">
        <v>62</v>
      </c>
      <c r="E5" s="77">
        <v>10.7</v>
      </c>
      <c r="F5" s="46">
        <f>D5*E5</f>
        <v>663.4</v>
      </c>
      <c r="G5" s="47" t="s">
        <v>40</v>
      </c>
      <c r="H5" s="301" t="s">
        <v>799</v>
      </c>
      <c r="I5" s="48"/>
      <c r="J5" s="49">
        <f>0.7*$D$5</f>
        <v>43.4</v>
      </c>
      <c r="K5" s="49">
        <f>0.8*$D$5</f>
        <v>49.6</v>
      </c>
      <c r="L5" s="49">
        <f>0.9*$D$5</f>
        <v>55.800000000000004</v>
      </c>
      <c r="M5" s="50">
        <f>1*$D$5</f>
        <v>62</v>
      </c>
      <c r="N5" s="49">
        <f>1.1*$D$5</f>
        <v>68.2</v>
      </c>
      <c r="O5" s="49">
        <f>1.2*$D$5</f>
        <v>74.399999999999991</v>
      </c>
      <c r="P5" s="51">
        <f>1.3*$D$5</f>
        <v>80.600000000000009</v>
      </c>
    </row>
    <row r="6" spans="2:16" ht="17.25">
      <c r="B6" s="43" t="s">
        <v>22</v>
      </c>
      <c r="C6" s="52"/>
      <c r="D6" s="53"/>
      <c r="E6" s="58"/>
      <c r="F6" s="46">
        <f>D6*E6</f>
        <v>0</v>
      </c>
      <c r="G6" s="54"/>
      <c r="H6" s="301"/>
      <c r="I6" s="55">
        <f>0.7*$E$5</f>
        <v>7.4899999999999993</v>
      </c>
      <c r="J6" s="56">
        <f t="shared" ref="J6:P12" si="0">(J$5*$I6+SUM($F$6:$F$8)-((J$5*$I6+SUM($F$6:$F$8))/$F$9*$F$38)-($F$25*J$5/$D$5)-SUM($F$12:$F$13,$F$19,$F$24,$F$26:$F$31,$F$33:$F$34,$F$39))</f>
        <v>-223.40011603040739</v>
      </c>
      <c r="K6" s="56">
        <f t="shared" si="0"/>
        <v>-177.89087603040736</v>
      </c>
      <c r="L6" s="56">
        <f t="shared" si="0"/>
        <v>-132.38163603040732</v>
      </c>
      <c r="M6" s="56">
        <f t="shared" si="0"/>
        <v>-86.872396030407401</v>
      </c>
      <c r="N6" s="56">
        <f t="shared" si="0"/>
        <v>-41.363156030407367</v>
      </c>
      <c r="O6" s="56">
        <f t="shared" si="0"/>
        <v>4.146083969592496</v>
      </c>
      <c r="P6" s="56">
        <f t="shared" si="0"/>
        <v>49.655323969592587</v>
      </c>
    </row>
    <row r="7" spans="2:16" ht="17.25">
      <c r="B7" s="57" t="s">
        <v>23</v>
      </c>
      <c r="C7" s="34"/>
      <c r="D7" s="57"/>
      <c r="E7" s="34"/>
      <c r="F7" s="58">
        <v>25</v>
      </c>
      <c r="G7" s="54"/>
      <c r="H7" s="301"/>
      <c r="I7" s="55">
        <f>0.8*$E$5</f>
        <v>8.56</v>
      </c>
      <c r="J7" s="56">
        <f t="shared" si="0"/>
        <v>-177.8908760304073</v>
      </c>
      <c r="K7" s="56">
        <f t="shared" si="0"/>
        <v>-125.8803160304073</v>
      </c>
      <c r="L7" s="56">
        <f t="shared" si="0"/>
        <v>-73.869756030407245</v>
      </c>
      <c r="M7" s="56">
        <f t="shared" si="0"/>
        <v>-21.859196030407361</v>
      </c>
      <c r="N7" s="56">
        <f t="shared" si="0"/>
        <v>30.151363969592694</v>
      </c>
      <c r="O7" s="56">
        <f t="shared" si="0"/>
        <v>82.161923969592635</v>
      </c>
      <c r="P7" s="56">
        <f t="shared" si="0"/>
        <v>134.1724839695928</v>
      </c>
    </row>
    <row r="8" spans="2:16" ht="17.25">
      <c r="B8" s="57" t="s">
        <v>24</v>
      </c>
      <c r="C8" s="34"/>
      <c r="D8" s="57"/>
      <c r="E8" s="34"/>
      <c r="F8" s="59">
        <v>0</v>
      </c>
      <c r="G8" s="54"/>
      <c r="H8" s="301"/>
      <c r="I8" s="55">
        <f>0.9*$E$5</f>
        <v>9.629999999999999</v>
      </c>
      <c r="J8" s="56">
        <f t="shared" si="0"/>
        <v>-132.38163603040738</v>
      </c>
      <c r="K8" s="56">
        <f t="shared" si="0"/>
        <v>-73.869756030407359</v>
      </c>
      <c r="L8" s="56">
        <f t="shared" si="0"/>
        <v>-15.357876030407283</v>
      </c>
      <c r="M8" s="56">
        <f t="shared" si="0"/>
        <v>43.154003969592623</v>
      </c>
      <c r="N8" s="56">
        <f t="shared" si="0"/>
        <v>101.66588396959264</v>
      </c>
      <c r="O8" s="56">
        <f t="shared" si="0"/>
        <v>160.17776396959255</v>
      </c>
      <c r="P8" s="56">
        <f t="shared" si="0"/>
        <v>218.68964396959268</v>
      </c>
    </row>
    <row r="9" spans="2:16" ht="17.25">
      <c r="B9" s="60" t="s">
        <v>373</v>
      </c>
      <c r="C9" s="34"/>
      <c r="D9" s="61"/>
      <c r="E9" s="61"/>
      <c r="F9" s="62">
        <f>SUM(F5:F8)</f>
        <v>688.4</v>
      </c>
      <c r="G9" s="63"/>
      <c r="H9" s="301"/>
      <c r="I9" s="64">
        <f>1*$E$5</f>
        <v>10.7</v>
      </c>
      <c r="J9" s="56">
        <f t="shared" si="0"/>
        <v>-86.872396030407401</v>
      </c>
      <c r="K9" s="56">
        <f t="shared" si="0"/>
        <v>-21.859196030407361</v>
      </c>
      <c r="L9" s="56">
        <f t="shared" si="0"/>
        <v>43.154003969592736</v>
      </c>
      <c r="M9" s="65">
        <f t="shared" si="0"/>
        <v>108.16720396959261</v>
      </c>
      <c r="N9" s="56">
        <f t="shared" si="0"/>
        <v>173.1804039695927</v>
      </c>
      <c r="O9" s="56">
        <f t="shared" si="0"/>
        <v>238.19360396959246</v>
      </c>
      <c r="P9" s="56">
        <f t="shared" si="0"/>
        <v>303.20680396959278</v>
      </c>
    </row>
    <row r="10" spans="2:16" ht="17.25">
      <c r="B10" s="60"/>
      <c r="C10" s="34"/>
      <c r="D10" s="61"/>
      <c r="E10" s="61"/>
      <c r="F10" s="66"/>
      <c r="G10" s="63"/>
      <c r="H10" s="301"/>
      <c r="I10" s="55">
        <f>1.1*$E$5</f>
        <v>11.77</v>
      </c>
      <c r="J10" s="56">
        <f t="shared" si="0"/>
        <v>-41.363156030407367</v>
      </c>
      <c r="K10" s="56">
        <f t="shared" si="0"/>
        <v>30.151363969592694</v>
      </c>
      <c r="L10" s="56">
        <f t="shared" si="0"/>
        <v>101.66588396959276</v>
      </c>
      <c r="M10" s="56">
        <f t="shared" si="0"/>
        <v>173.1804039695927</v>
      </c>
      <c r="N10" s="56">
        <f t="shared" si="0"/>
        <v>244.69492396959276</v>
      </c>
      <c r="O10" s="56">
        <f t="shared" si="0"/>
        <v>316.20944396959248</v>
      </c>
      <c r="P10" s="56">
        <f t="shared" si="0"/>
        <v>387.72396396959266</v>
      </c>
    </row>
    <row r="11" spans="2:16" ht="17.25">
      <c r="B11" s="67" t="s">
        <v>856</v>
      </c>
      <c r="C11" s="40" t="s">
        <v>556</v>
      </c>
      <c r="D11" s="41" t="s">
        <v>25</v>
      </c>
      <c r="E11" s="41" t="s">
        <v>854</v>
      </c>
      <c r="F11" s="41" t="s">
        <v>855</v>
      </c>
      <c r="G11" s="63"/>
      <c r="H11" s="301"/>
      <c r="I11" s="55">
        <f>1.2*$E$5</f>
        <v>12.839999999999998</v>
      </c>
      <c r="J11" s="56">
        <f t="shared" si="0"/>
        <v>4.146083969592496</v>
      </c>
      <c r="K11" s="56">
        <f t="shared" si="0"/>
        <v>82.161923969592635</v>
      </c>
      <c r="L11" s="56">
        <f t="shared" si="0"/>
        <v>160.17776396959266</v>
      </c>
      <c r="M11" s="56">
        <f t="shared" si="0"/>
        <v>238.19360396959257</v>
      </c>
      <c r="N11" s="56">
        <f t="shared" si="0"/>
        <v>316.20944396959248</v>
      </c>
      <c r="O11" s="56">
        <f t="shared" si="0"/>
        <v>394.2252839695924</v>
      </c>
      <c r="P11" s="56">
        <f t="shared" si="0"/>
        <v>472.24112396959276</v>
      </c>
    </row>
    <row r="12" spans="2:16" ht="17.25">
      <c r="B12" s="57" t="s">
        <v>14</v>
      </c>
      <c r="C12" s="7" t="s">
        <v>857</v>
      </c>
      <c r="D12" s="68">
        <v>130000</v>
      </c>
      <c r="E12" s="69">
        <v>75</v>
      </c>
      <c r="F12" s="46">
        <f>E12*D12/H16</f>
        <v>69.642857142857139</v>
      </c>
      <c r="G12" s="63"/>
      <c r="H12" s="301"/>
      <c r="I12" s="70">
        <f>1.3*$E$5</f>
        <v>13.91</v>
      </c>
      <c r="J12" s="56">
        <f t="shared" si="0"/>
        <v>49.655323969592587</v>
      </c>
      <c r="K12" s="56">
        <f t="shared" si="0"/>
        <v>134.17248396959269</v>
      </c>
      <c r="L12" s="56">
        <f t="shared" si="0"/>
        <v>218.68964396959279</v>
      </c>
      <c r="M12" s="56">
        <f t="shared" si="0"/>
        <v>303.20680396959267</v>
      </c>
      <c r="N12" s="56">
        <f t="shared" si="0"/>
        <v>387.72396396959266</v>
      </c>
      <c r="O12" s="56">
        <f t="shared" si="0"/>
        <v>472.24112396959276</v>
      </c>
      <c r="P12" s="56">
        <f t="shared" si="0"/>
        <v>556.75828396959287</v>
      </c>
    </row>
    <row r="13" spans="2:16">
      <c r="B13" s="57" t="s">
        <v>26</v>
      </c>
      <c r="C13" s="7"/>
      <c r="D13" s="34"/>
      <c r="E13" s="71"/>
      <c r="F13" s="46">
        <f>SUMPRODUCT(D14:D18,E14:E18)+F17</f>
        <v>100.5</v>
      </c>
      <c r="G13" s="63"/>
      <c r="H13" s="72"/>
    </row>
    <row r="14" spans="2:16">
      <c r="B14" s="73" t="s">
        <v>27</v>
      </c>
      <c r="C14" s="7" t="s">
        <v>686</v>
      </c>
      <c r="D14" s="45">
        <v>0</v>
      </c>
      <c r="E14" s="71">
        <f>'Input prices'!D4</f>
        <v>0.7</v>
      </c>
      <c r="F14" s="46"/>
      <c r="G14" s="63"/>
      <c r="H14" s="72"/>
    </row>
    <row r="15" spans="2:16">
      <c r="B15" s="73" t="s">
        <v>28</v>
      </c>
      <c r="C15" s="7" t="s">
        <v>686</v>
      </c>
      <c r="D15" s="45">
        <v>50</v>
      </c>
      <c r="E15" s="71">
        <f>'Input prices'!D5</f>
        <v>0.73</v>
      </c>
      <c r="F15" s="46"/>
      <c r="G15" s="63"/>
      <c r="H15" s="74" t="s">
        <v>858</v>
      </c>
      <c r="I15"/>
      <c r="J15" s="75"/>
    </row>
    <row r="16" spans="2:16">
      <c r="B16" s="73" t="s">
        <v>8</v>
      </c>
      <c r="C16" s="7" t="s">
        <v>686</v>
      </c>
      <c r="D16" s="45">
        <v>95</v>
      </c>
      <c r="E16" s="71">
        <f>'Input prices'!D6</f>
        <v>0.42</v>
      </c>
      <c r="F16" s="46"/>
      <c r="G16" s="63"/>
      <c r="H16" s="74">
        <v>140000</v>
      </c>
      <c r="I16"/>
      <c r="K16" s="76"/>
    </row>
    <row r="17" spans="2:11">
      <c r="B17" s="73" t="s">
        <v>690</v>
      </c>
      <c r="C17" s="7"/>
      <c r="D17" s="34"/>
      <c r="E17" s="71"/>
      <c r="F17" s="77">
        <v>6.6</v>
      </c>
      <c r="G17" s="63"/>
      <c r="H17" s="72"/>
      <c r="I17" s="1"/>
      <c r="K17" s="76"/>
    </row>
    <row r="18" spans="2:11">
      <c r="B18" s="73" t="s">
        <v>9</v>
      </c>
      <c r="C18" s="7" t="s">
        <v>859</v>
      </c>
      <c r="D18" s="45">
        <v>0.5</v>
      </c>
      <c r="E18" s="71">
        <f>'Input prices'!D7</f>
        <v>35</v>
      </c>
      <c r="F18" s="78"/>
      <c r="G18" s="63"/>
      <c r="H18" s="72"/>
      <c r="I18" s="9"/>
      <c r="K18" s="79"/>
    </row>
    <row r="19" spans="2:11">
      <c r="B19" s="57" t="s">
        <v>29</v>
      </c>
      <c r="C19" s="7"/>
      <c r="D19" s="34"/>
      <c r="E19" s="71"/>
      <c r="F19" s="46">
        <f>SUMPRODUCT(D20:D23,E20:E23)</f>
        <v>109</v>
      </c>
      <c r="G19" s="37"/>
      <c r="H19" s="72"/>
      <c r="I19" s="9"/>
      <c r="K19" s="79"/>
    </row>
    <row r="20" spans="2:11">
      <c r="B20" s="73" t="s">
        <v>15</v>
      </c>
      <c r="C20" s="7" t="s">
        <v>860</v>
      </c>
      <c r="D20" s="45">
        <v>2</v>
      </c>
      <c r="E20" s="69">
        <v>37</v>
      </c>
      <c r="F20" s="46"/>
      <c r="G20" s="37"/>
      <c r="H20" s="72"/>
      <c r="I20" s="9"/>
      <c r="K20" s="79"/>
    </row>
    <row r="21" spans="2:11">
      <c r="B21" s="73" t="s">
        <v>691</v>
      </c>
      <c r="C21" s="7" t="s">
        <v>860</v>
      </c>
      <c r="D21" s="45">
        <v>1</v>
      </c>
      <c r="E21" s="69">
        <v>8</v>
      </c>
      <c r="F21" s="46"/>
      <c r="G21" s="37"/>
      <c r="H21" s="72"/>
      <c r="I21" s="9"/>
      <c r="K21" s="79"/>
    </row>
    <row r="22" spans="2:11">
      <c r="B22" s="73" t="s">
        <v>692</v>
      </c>
      <c r="C22" s="7" t="s">
        <v>860</v>
      </c>
      <c r="D22" s="45">
        <v>1</v>
      </c>
      <c r="E22" s="69">
        <v>11</v>
      </c>
      <c r="F22" s="46"/>
      <c r="G22" s="63"/>
      <c r="H22" s="72"/>
      <c r="I22" s="9"/>
      <c r="K22" s="79"/>
    </row>
    <row r="23" spans="2:11">
      <c r="B23" s="73" t="s">
        <v>879</v>
      </c>
      <c r="C23" s="7" t="s">
        <v>860</v>
      </c>
      <c r="D23" s="45">
        <v>1</v>
      </c>
      <c r="E23" s="69">
        <v>16</v>
      </c>
      <c r="F23" s="46"/>
      <c r="G23" s="63"/>
      <c r="H23" s="72"/>
      <c r="I23" s="9"/>
      <c r="K23" s="79"/>
    </row>
    <row r="24" spans="2:11">
      <c r="B24" s="57" t="s">
        <v>359</v>
      </c>
      <c r="C24" s="7" t="s">
        <v>861</v>
      </c>
      <c r="D24" s="45">
        <v>18</v>
      </c>
      <c r="E24" s="71">
        <f>IFERROR(HLOOKUP($D$3,'Irrigation costs'!$D$2:$F$17,15,FALSE),0)</f>
        <v>2.3899999999999997</v>
      </c>
      <c r="F24" s="46">
        <f>D24*E24</f>
        <v>43.019999999999996</v>
      </c>
      <c r="G24" s="63"/>
      <c r="H24" s="72"/>
      <c r="I24" s="9"/>
      <c r="K24" s="80"/>
    </row>
    <row r="25" spans="2:11">
      <c r="B25" s="57" t="s">
        <v>755</v>
      </c>
      <c r="C25" s="7" t="s">
        <v>862</v>
      </c>
      <c r="D25" s="81">
        <v>0</v>
      </c>
      <c r="E25" s="69">
        <v>0.05</v>
      </c>
      <c r="F25" s="46">
        <f>IFERROR(D25*100*E25*D5,0)</f>
        <v>0</v>
      </c>
      <c r="G25" s="63"/>
      <c r="H25" s="72"/>
      <c r="I25" s="9"/>
      <c r="K25" s="79"/>
    </row>
    <row r="26" spans="2:11">
      <c r="B26" s="57" t="s">
        <v>30</v>
      </c>
      <c r="C26" s="7"/>
      <c r="D26" s="34"/>
      <c r="E26" s="71"/>
      <c r="F26" s="58">
        <v>8.5</v>
      </c>
      <c r="G26" s="63"/>
      <c r="H26" s="72"/>
      <c r="I26" s="1"/>
      <c r="K26" s="76"/>
    </row>
    <row r="27" spans="2:11">
      <c r="B27" s="57" t="s">
        <v>31</v>
      </c>
      <c r="C27" s="7"/>
      <c r="D27" s="34"/>
      <c r="E27" s="71"/>
      <c r="F27" s="58">
        <v>28</v>
      </c>
      <c r="G27" s="63"/>
      <c r="H27" s="72"/>
      <c r="I27" s="9"/>
      <c r="K27" s="82"/>
    </row>
    <row r="28" spans="2:11">
      <c r="B28" s="57" t="s">
        <v>32</v>
      </c>
      <c r="C28" s="7" t="s">
        <v>654</v>
      </c>
      <c r="D28" s="34"/>
      <c r="E28" s="71"/>
      <c r="F28" s="83">
        <f>G58</f>
        <v>32.571000000000005</v>
      </c>
      <c r="G28" s="63"/>
      <c r="H28" s="72"/>
      <c r="I28" s="9"/>
      <c r="K28" s="82"/>
    </row>
    <row r="29" spans="2:11">
      <c r="B29" s="57" t="s">
        <v>808</v>
      </c>
      <c r="C29" s="7" t="s">
        <v>863</v>
      </c>
      <c r="D29" s="34">
        <f>F74</f>
        <v>0.64111846405228756</v>
      </c>
      <c r="E29" s="71">
        <f>'Input prices'!D8</f>
        <v>22.5</v>
      </c>
      <c r="F29" s="83">
        <f>E29*D29</f>
        <v>14.425165441176469</v>
      </c>
      <c r="G29" s="63"/>
      <c r="H29" s="72"/>
      <c r="I29" s="9"/>
      <c r="K29" s="82"/>
    </row>
    <row r="30" spans="2:11">
      <c r="B30" s="57" t="s">
        <v>702</v>
      </c>
      <c r="C30" s="7" t="s">
        <v>864</v>
      </c>
      <c r="D30" s="34">
        <f>E74</f>
        <v>5.6235406045751635</v>
      </c>
      <c r="E30" s="71">
        <f>'Input prices'!D9</f>
        <v>2.9</v>
      </c>
      <c r="F30" s="83">
        <f>D30*E30</f>
        <v>16.308267753267973</v>
      </c>
      <c r="G30" s="63"/>
      <c r="H30" s="72"/>
      <c r="I30" s="9"/>
      <c r="K30" s="76"/>
    </row>
    <row r="31" spans="2:11">
      <c r="B31" s="57" t="s">
        <v>33</v>
      </c>
      <c r="C31" s="84" t="s">
        <v>654</v>
      </c>
      <c r="D31" s="85"/>
      <c r="E31" s="34"/>
      <c r="F31" s="83">
        <f>G74-F30-F29</f>
        <v>29.527149629702954</v>
      </c>
      <c r="G31" s="63"/>
      <c r="H31" s="72"/>
      <c r="I31" s="9"/>
      <c r="K31" s="86"/>
    </row>
    <row r="32" spans="2:11">
      <c r="B32" s="57" t="s">
        <v>366</v>
      </c>
      <c r="C32" s="84" t="s">
        <v>865</v>
      </c>
      <c r="D32" s="197">
        <v>0.03</v>
      </c>
      <c r="E32" s="34"/>
      <c r="F32" s="83">
        <f>F9*D32</f>
        <v>20.651999999999997</v>
      </c>
      <c r="G32" s="63"/>
      <c r="H32" s="72"/>
      <c r="I32" s="9"/>
      <c r="K32" s="87"/>
    </row>
    <row r="33" spans="2:8">
      <c r="B33" s="57" t="s">
        <v>34</v>
      </c>
      <c r="C33" s="7" t="s">
        <v>654</v>
      </c>
      <c r="D33" s="85"/>
      <c r="E33" s="34"/>
      <c r="F33" s="58">
        <v>0</v>
      </c>
      <c r="G33" s="63"/>
      <c r="H33" s="72"/>
    </row>
    <row r="34" spans="2:8">
      <c r="B34" s="57" t="s">
        <v>11</v>
      </c>
      <c r="C34" s="84" t="s">
        <v>866</v>
      </c>
      <c r="D34" s="88">
        <f>SUM(F12:F13,F19,F25:F33)/2</f>
        <v>214.56321998350225</v>
      </c>
      <c r="E34" s="89">
        <f>'Input prices'!D10</f>
        <v>7.2499999999999995E-2</v>
      </c>
      <c r="F34" s="90">
        <f>E34*D34</f>
        <v>15.555833448803913</v>
      </c>
      <c r="G34" s="91"/>
      <c r="H34" s="72"/>
    </row>
    <row r="35" spans="2:8">
      <c r="B35" s="60" t="s">
        <v>372</v>
      </c>
      <c r="C35" s="92"/>
      <c r="D35" s="61"/>
      <c r="E35" s="34"/>
      <c r="F35" s="62">
        <f>SUM(F12:F13,F19,F24:F34)</f>
        <v>487.70227341580841</v>
      </c>
      <c r="G35" s="63"/>
      <c r="H35" s="72"/>
    </row>
    <row r="36" spans="2:8">
      <c r="B36" s="36"/>
      <c r="C36" s="92"/>
      <c r="D36" s="61"/>
      <c r="E36" s="34"/>
      <c r="F36" s="36"/>
      <c r="G36" s="63"/>
      <c r="H36" s="72"/>
    </row>
    <row r="37" spans="2:8" ht="17.25">
      <c r="B37" s="67" t="s">
        <v>867</v>
      </c>
      <c r="C37" s="40" t="s">
        <v>556</v>
      </c>
      <c r="D37" s="41" t="s">
        <v>25</v>
      </c>
      <c r="E37" s="41" t="s">
        <v>854</v>
      </c>
      <c r="F37" s="41" t="s">
        <v>855</v>
      </c>
      <c r="G37" s="63"/>
      <c r="H37" s="72"/>
    </row>
    <row r="38" spans="2:8">
      <c r="B38" s="57" t="s">
        <v>18</v>
      </c>
      <c r="C38" s="84" t="s">
        <v>865</v>
      </c>
      <c r="D38" s="197">
        <v>0.02</v>
      </c>
      <c r="E38" s="34"/>
      <c r="F38" s="46">
        <f>D38*F9</f>
        <v>13.768000000000001</v>
      </c>
      <c r="G38" s="63"/>
      <c r="H38" s="72"/>
    </row>
    <row r="39" spans="2:8">
      <c r="B39" s="57" t="s">
        <v>376</v>
      </c>
      <c r="C39" s="84" t="s">
        <v>654</v>
      </c>
      <c r="D39" s="61"/>
      <c r="E39" s="34"/>
      <c r="F39" s="46">
        <f>H74+HLOOKUP(D3,'Irrigation costs'!$D$2:$G$17,14, FALSE)</f>
        <v>99.41452261459898</v>
      </c>
      <c r="G39" s="63"/>
      <c r="H39" s="72"/>
    </row>
    <row r="40" spans="2:8">
      <c r="B40" s="57" t="s">
        <v>35</v>
      </c>
      <c r="C40" s="84" t="s">
        <v>654</v>
      </c>
      <c r="D40" s="61"/>
      <c r="E40" s="34"/>
      <c r="F40" s="93">
        <v>225</v>
      </c>
      <c r="G40" s="91"/>
      <c r="H40" s="72"/>
    </row>
    <row r="41" spans="2:8">
      <c r="B41" s="60" t="s">
        <v>868</v>
      </c>
      <c r="C41" s="92"/>
      <c r="D41" s="61"/>
      <c r="E41" s="34"/>
      <c r="F41" s="62">
        <f>SUM(F38:F40)</f>
        <v>338.18252261459895</v>
      </c>
      <c r="G41" s="63"/>
      <c r="H41" s="72"/>
    </row>
    <row r="42" spans="2:8">
      <c r="B42" s="36"/>
      <c r="C42" s="34"/>
      <c r="D42" s="61"/>
      <c r="E42" s="34"/>
      <c r="F42" s="46"/>
      <c r="G42" s="91"/>
      <c r="H42" s="72"/>
    </row>
    <row r="43" spans="2:8" ht="15" customHeight="1">
      <c r="B43" s="60" t="s">
        <v>375</v>
      </c>
      <c r="C43" s="34"/>
      <c r="D43" s="61"/>
      <c r="E43" s="61"/>
      <c r="F43" s="62">
        <f>F35+F41</f>
        <v>825.88479603040741</v>
      </c>
      <c r="G43" s="37"/>
      <c r="H43" s="72"/>
    </row>
    <row r="44" spans="2:8">
      <c r="B44" s="94"/>
      <c r="C44" s="95"/>
      <c r="D44" s="96"/>
      <c r="E44" s="95"/>
      <c r="F44" s="97"/>
      <c r="G44" s="63"/>
      <c r="H44" s="72"/>
    </row>
    <row r="45" spans="2:8">
      <c r="B45" s="98" t="s">
        <v>367</v>
      </c>
      <c r="C45" s="34"/>
      <c r="D45" s="61"/>
      <c r="E45" s="34"/>
      <c r="F45" s="62">
        <f>F9-F35</f>
        <v>200.69772658419157</v>
      </c>
      <c r="G45" s="63"/>
      <c r="H45" s="72"/>
    </row>
    <row r="46" spans="2:8">
      <c r="B46" s="98" t="s">
        <v>368</v>
      </c>
      <c r="C46" s="34"/>
      <c r="D46" s="61"/>
      <c r="E46" s="34"/>
      <c r="F46" s="62">
        <f>F9-F43</f>
        <v>-137.48479603040744</v>
      </c>
      <c r="G46" s="37"/>
      <c r="H46" s="72"/>
    </row>
    <row r="47" spans="2:8">
      <c r="B47" s="99" t="s">
        <v>369</v>
      </c>
      <c r="C47" s="100"/>
      <c r="D47" s="101"/>
      <c r="E47" s="100"/>
      <c r="F47" s="102">
        <f>F9-F43+F40+F32</f>
        <v>108.16720396959256</v>
      </c>
      <c r="G47" s="63"/>
      <c r="H47" s="72"/>
    </row>
    <row r="48" spans="2:8">
      <c r="B48" s="36"/>
      <c r="C48" s="34"/>
      <c r="D48" s="34" t="s">
        <v>36</v>
      </c>
      <c r="E48" s="34"/>
      <c r="F48" s="46">
        <f>F35/D5</f>
        <v>7.8661657002549745</v>
      </c>
      <c r="G48" s="63"/>
      <c r="H48" s="72"/>
    </row>
    <row r="49" spans="2:9">
      <c r="B49" s="36"/>
      <c r="C49" s="34"/>
      <c r="D49" s="34" t="s">
        <v>37</v>
      </c>
      <c r="E49" s="34"/>
      <c r="F49" s="46">
        <f>F41/D5</f>
        <v>5.4545568163644989</v>
      </c>
      <c r="G49" s="63"/>
      <c r="H49" s="72"/>
    </row>
    <row r="50" spans="2:9">
      <c r="B50" s="103"/>
      <c r="C50" s="100"/>
      <c r="D50" s="100" t="s">
        <v>38</v>
      </c>
      <c r="E50" s="100"/>
      <c r="F50" s="90">
        <f>F43/D5</f>
        <v>13.320722516619474</v>
      </c>
      <c r="G50" s="63"/>
      <c r="H50" s="72"/>
    </row>
    <row r="51" spans="2:9">
      <c r="B51" s="37"/>
      <c r="C51" s="63"/>
      <c r="D51" s="104"/>
      <c r="E51" s="63"/>
      <c r="F51" s="37"/>
      <c r="G51" s="63"/>
      <c r="H51" s="72"/>
    </row>
    <row r="52" spans="2:9">
      <c r="B52" s="302" t="s">
        <v>869</v>
      </c>
      <c r="C52" s="302"/>
      <c r="D52" s="302"/>
      <c r="E52" s="302"/>
      <c r="F52" s="302"/>
      <c r="G52" s="106"/>
      <c r="H52" s="72"/>
    </row>
    <row r="53" spans="2:9">
      <c r="B53" s="107" t="s">
        <v>560</v>
      </c>
      <c r="C53" s="108" t="s">
        <v>561</v>
      </c>
      <c r="D53" s="108" t="s">
        <v>556</v>
      </c>
      <c r="E53" s="108" t="s">
        <v>754</v>
      </c>
      <c r="F53" s="108" t="s">
        <v>10</v>
      </c>
      <c r="G53" s="109" t="s">
        <v>698</v>
      </c>
      <c r="H53" s="72"/>
    </row>
    <row r="54" spans="2:9">
      <c r="B54" s="110" t="s">
        <v>563</v>
      </c>
      <c r="C54" s="111">
        <f>IF(ISBLANK($B54),"",VLOOKUP($B54,'Machinery Input Tables'!$C$133:$F$184,2,FALSE))</f>
        <v>7.3709999999999996</v>
      </c>
      <c r="D54" s="111" t="str">
        <f>IF(ISBLANK($B54),"",VLOOKUP($B54,'Machinery Input Tables'!$C$133:$F$184,3,FALSE))</f>
        <v>per acre</v>
      </c>
      <c r="E54" s="112"/>
      <c r="F54" s="110">
        <v>1</v>
      </c>
      <c r="G54" s="113">
        <f>IFERROR(C54*F54*IF(D54="per acre",1,E54),"-")</f>
        <v>7.3709999999999996</v>
      </c>
      <c r="H54" s="72"/>
    </row>
    <row r="55" spans="2:9">
      <c r="B55" s="110" t="s">
        <v>700</v>
      </c>
      <c r="C55" s="111">
        <f>IF(ISBLANK($B55),"",VLOOKUP($B55,'Machinery Input Tables'!$C$133:$F$184,2,FALSE))</f>
        <v>12.600000000000001</v>
      </c>
      <c r="D55" s="111" t="str">
        <f>IF(ISBLANK($B55),"",VLOOKUP($B55,'Machinery Input Tables'!$C$133:$F$184,3,FALSE))</f>
        <v>per acre</v>
      </c>
      <c r="E55" s="112"/>
      <c r="F55" s="110">
        <v>2</v>
      </c>
      <c r="G55" s="113">
        <f t="shared" ref="G55:G57" si="1">IFERROR(C55*F55*IF(D55="per acre",1,E55),"-")</f>
        <v>25.200000000000003</v>
      </c>
      <c r="H55" s="72"/>
    </row>
    <row r="56" spans="2:9">
      <c r="B56" s="114"/>
      <c r="C56" s="111" t="str">
        <f>IF(ISBLANK($B56),"",VLOOKUP($B56,'Machinery Input Tables'!$C$133:$F$184,2,FALSE))</f>
        <v/>
      </c>
      <c r="D56" s="111" t="str">
        <f>IF(ISBLANK($B56),"",VLOOKUP($B56,'Machinery Input Tables'!$C$133:$F$184,3,FALSE))</f>
        <v/>
      </c>
      <c r="E56" s="114"/>
      <c r="F56" s="114"/>
      <c r="G56" s="113" t="str">
        <f t="shared" si="1"/>
        <v>-</v>
      </c>
      <c r="H56" s="72"/>
    </row>
    <row r="57" spans="2:9">
      <c r="B57" s="115"/>
      <c r="C57" s="116" t="str">
        <f>IF(ISBLANK($B57),"",VLOOKUP($B57,'Machinery Input Tables'!$C$133:$F$184,2,FALSE))</f>
        <v/>
      </c>
      <c r="D57" s="117" t="str">
        <f>IF(ISBLANK($B57),"",VLOOKUP($B57,'Machinery Input Tables'!$C$133:$F$184,3,FALSE))</f>
        <v/>
      </c>
      <c r="E57" s="115"/>
      <c r="F57" s="115"/>
      <c r="G57" s="118" t="str">
        <f t="shared" si="1"/>
        <v>-</v>
      </c>
      <c r="H57" s="72"/>
    </row>
    <row r="58" spans="2:9">
      <c r="B58" s="119" t="s">
        <v>699</v>
      </c>
      <c r="C58" s="120"/>
      <c r="D58" s="119"/>
      <c r="E58" s="120"/>
      <c r="F58" s="120"/>
      <c r="G58" s="121">
        <f>SUM(G54:G57)</f>
        <v>32.571000000000005</v>
      </c>
      <c r="H58" s="72"/>
    </row>
    <row r="59" spans="2:9" s="6" customFormat="1" ht="17.25">
      <c r="B59" s="302" t="s">
        <v>870</v>
      </c>
      <c r="C59" s="302"/>
      <c r="D59" s="302"/>
      <c r="E59" s="302"/>
      <c r="F59" s="302"/>
      <c r="G59" s="302"/>
      <c r="H59" s="302"/>
      <c r="I59" s="302"/>
    </row>
    <row r="60" spans="2:9">
      <c r="B60" s="303" t="s">
        <v>497</v>
      </c>
      <c r="C60" s="305" t="s">
        <v>498</v>
      </c>
      <c r="D60" s="123" t="s">
        <v>871</v>
      </c>
      <c r="E60" s="305" t="s">
        <v>499</v>
      </c>
      <c r="F60" s="305" t="s">
        <v>500</v>
      </c>
      <c r="G60" s="122" t="s">
        <v>501</v>
      </c>
      <c r="H60" s="122" t="s">
        <v>502</v>
      </c>
      <c r="I60" s="307" t="s">
        <v>503</v>
      </c>
    </row>
    <row r="61" spans="2:9">
      <c r="B61" s="304"/>
      <c r="C61" s="306"/>
      <c r="D61" s="125" t="s">
        <v>872</v>
      </c>
      <c r="E61" s="306"/>
      <c r="F61" s="306"/>
      <c r="G61" s="124" t="s">
        <v>516</v>
      </c>
      <c r="H61" s="124" t="s">
        <v>516</v>
      </c>
      <c r="I61" s="308"/>
    </row>
    <row r="62" spans="2:9">
      <c r="B62" s="126"/>
      <c r="C62" s="127" t="s">
        <v>873</v>
      </c>
      <c r="D62" s="128" t="s">
        <v>522</v>
      </c>
      <c r="E62" s="128" t="s">
        <v>519</v>
      </c>
      <c r="F62" s="128" t="s">
        <v>520</v>
      </c>
      <c r="G62" s="128" t="s">
        <v>521</v>
      </c>
      <c r="H62" s="128" t="s">
        <v>521</v>
      </c>
      <c r="I62" s="128" t="s">
        <v>523</v>
      </c>
    </row>
    <row r="63" spans="2:9">
      <c r="B63" s="129" t="s">
        <v>840</v>
      </c>
      <c r="C63" s="129" t="s">
        <v>649</v>
      </c>
      <c r="D63" s="130">
        <v>0.33</v>
      </c>
      <c r="E63" s="131">
        <f>IFERROR(IF(ISBLANK(C63),"",IF(OR(ISBLANK(B63),IFERROR(VLOOKUP(B63,'Machinery Input Tables'!$B$6:$AF$121,13,FALSE),"")='Machinery Input Tables'!$N$128),1,VLOOKUP(B63,'Machinery Input Tables'!$B$6:$AF$121,28,FALSE))*VLOOKUP(C63,'Machinery Input Tables'!$AH$6:$BA$32,19,FALSE))*D63,"-")</f>
        <v>0.39929999999999999</v>
      </c>
      <c r="F63" s="131">
        <f>IFERROR(IF(AND(ISBLANK(B63)*ISBLANK(C63)),"",IF(ISBLANK(B63),1,IF(VLOOKUP(B63,'Machinery Input Tables'!$B$6:$AF$121,13,FALSE)='Machinery Input Tables'!$N$128,VLOOKUP(B63,'Machinery Input Tables'!$B$6:$AF$121,17,FALSE),VLOOKUP(B63,'Machinery Input Tables'!$B$6:$AF$121,28,FALSE))))*D63,"-")</f>
        <v>2.6691176470588239E-2</v>
      </c>
      <c r="G63" s="132">
        <f>IFERROR(IF(ISBLANK(C63),"",E63*'Machinery Input Tables'!$BP$10*'Machinery Input Tables'!$BP$11+E63*'Machinery Input Tables'!$BP$10+F63*'Machinery Input Tables'!$BP$6+(VLOOKUP(C63,'Machinery Input Tables'!$AH$6:$BA$32,18,FALSE)*IF(IFERROR(VLOOKUP(B63,'Machinery Input Tables'!$B$6:$AF$121,13,FALSE)='Machinery Input Tables'!$N$128,1),1,VLOOKUP(B63,'Machinery Input Tables'!$B$6:$AF$121,28,FALSE))+IFERROR(VLOOKUP(B63,'Machinery Input Tables'!$B$6:$AF$121,27,FALSE),0))*D63),"-")</f>
        <v>2.7770485316784868</v>
      </c>
      <c r="H63" s="132">
        <f>IFERROR((IFERROR(VLOOKUP(B63,'Machinery Input Tables'!$B$6:$AF$121,24,FALSE),0)+VLOOKUP(C63,'Machinery Input Tables'!$AH$6:$BA$32,20,FALSE))*IF(IFERROR(VLOOKUP(B63,'Machinery Input Tables'!$B$6:$AF$121,13,FALSE)='Machinery Input Tables'!$N$128,1),1,VLOOKUP(B63,'Machinery Input Tables'!$B$6:$AF$121,28,FALSE))*D63,"-")</f>
        <v>3.8889997700285543</v>
      </c>
      <c r="I63" s="132">
        <f>IFERROR(IF(ISBLANK(AND(B63,C63)),"",SUM(G63:H63)),"-")</f>
        <v>6.6660483017070415</v>
      </c>
    </row>
    <row r="64" spans="2:9">
      <c r="B64" s="129" t="s">
        <v>851</v>
      </c>
      <c r="C64" s="129" t="s">
        <v>693</v>
      </c>
      <c r="D64" s="130">
        <v>1</v>
      </c>
      <c r="E64" s="131">
        <f>IFERROR(IF(ISBLANK(C64),"",IF(OR(ISBLANK(B64),IFERROR(VLOOKUP(B64,'Machinery Input Tables'!$B$6:$AF$121,13,FALSE),"")='Machinery Input Tables'!$N$128),1,VLOOKUP(B64,'Machinery Input Tables'!$B$6:$AF$121,28,FALSE))*VLOOKUP(C64,'Machinery Input Tables'!$AH$6:$BA$32,19,FALSE))*D64,"-")</f>
        <v>0.55359477124182999</v>
      </c>
      <c r="F64" s="131">
        <f>IFERROR(IF(AND(ISBLANK(B64)*ISBLANK(C64)),"",IF(ISBLANK(B64),1,IF(VLOOKUP(B64,'Machinery Input Tables'!$B$6:$AF$121,13,FALSE)='Machinery Input Tables'!$N$128,VLOOKUP(B64,'Machinery Input Tables'!$B$6:$AF$121,17,FALSE),VLOOKUP(B64,'Machinery Input Tables'!$B$6:$AF$121,28,FALSE))))*D64,"-")</f>
        <v>4.4934640522875817E-2</v>
      </c>
      <c r="G64" s="132">
        <f>IFERROR(IF(ISBLANK(C64),"",E64*'Machinery Input Tables'!$BP$10+F64*'Machinery Input Tables'!$BP$6+(VLOOKUP(C64,'Machinery Input Tables'!$AH$6:$BA$32,18,FALSE)*IF(IFERROR(VLOOKUP(B64,'Machinery Input Tables'!$B$6:$AF$121,13,FALSE)='Machinery Input Tables'!$N$128,1),1,VLOOKUP(B64,'Machinery Input Tables'!$B$6:$AF$121,28,FALSE))+IFERROR(VLOOKUP(B64,'Machinery Input Tables'!$B$6:$AF$121,27,FALSE),0))*D64),"-")</f>
        <v>4.1222646197663799</v>
      </c>
      <c r="H64" s="132">
        <f>IFERROR((IFERROR(VLOOKUP(B64,'Machinery Input Tables'!$B$6:$AF$121,24,FALSE),0)+VLOOKUP(C64,'Machinery Input Tables'!$AH$6:$BA$32,20,FALSE))*IF(IFERROR(VLOOKUP(B64,'Machinery Input Tables'!$B$6:$AF$121,13,FALSE)='Machinery Input Tables'!$N$128,1),1,VLOOKUP(B64,'Machinery Input Tables'!$B$6:$AF$121,28,FALSE))*D64,"-")</f>
        <v>5.040912069370183</v>
      </c>
      <c r="I64" s="132">
        <f t="shared" ref="I64:I73" si="2">IFERROR(IF(ISBLANK(AND(B64,C64)),"",SUM(G64:H64)),"-")</f>
        <v>9.1631766891365629</v>
      </c>
    </row>
    <row r="65" spans="2:9">
      <c r="B65" s="129" t="s">
        <v>845</v>
      </c>
      <c r="C65" s="129" t="s">
        <v>649</v>
      </c>
      <c r="D65" s="130">
        <v>1</v>
      </c>
      <c r="E65" s="131">
        <f>IFERROR(IF(ISBLANK(C65),"",IF(OR(ISBLANK(B65),IFERROR(VLOOKUP(B65,'Machinery Input Tables'!$B$6:$AF$121,13,FALSE),"")='Machinery Input Tables'!$N$128),1,VLOOKUP(B65,'Machinery Input Tables'!$B$6:$AF$121,28,FALSE))*VLOOKUP(C65,'Machinery Input Tables'!$AH$6:$BA$32,19,FALSE))*D65,"-")</f>
        <v>0.50416666666666676</v>
      </c>
      <c r="F65" s="131">
        <f>IFERROR(IF(AND(ISBLANK(B65)*ISBLANK(C65)),"",IF(ISBLANK(B65),1,IF(VLOOKUP(B65,'Machinery Input Tables'!$B$6:$AF$121,13,FALSE)='Machinery Input Tables'!$N$128,VLOOKUP(B65,'Machinery Input Tables'!$B$6:$AF$121,17,FALSE),VLOOKUP(B65,'Machinery Input Tables'!$B$6:$AF$121,28,FALSE))))*D65,"-")</f>
        <v>3.3700980392156868E-2</v>
      </c>
      <c r="G65" s="132">
        <f>IFERROR(IF(ISBLANK(C65),"",E65*'Machinery Input Tables'!$BP$10+F65*'Machinery Input Tables'!$BP$6+(VLOOKUP(C65,'Machinery Input Tables'!$AH$6:$BA$32,18,FALSE)*IF(IFERROR(VLOOKUP(B65,'Machinery Input Tables'!$B$6:$AF$121,13,FALSE)='Machinery Input Tables'!$N$128,1),1,VLOOKUP(B65,'Machinery Input Tables'!$B$6:$AF$121,28,FALSE))+IFERROR(VLOOKUP(B65,'Machinery Input Tables'!$B$6:$AF$121,27,FALSE),0))*D65),"-")</f>
        <v>3.5928773788927337</v>
      </c>
      <c r="H65" s="132">
        <f>IFERROR((IFERROR(VLOOKUP(B65,'Machinery Input Tables'!$B$6:$AF$121,24,FALSE),0)+VLOOKUP(C65,'Machinery Input Tables'!$AH$6:$BA$32,20,FALSE))*IF(IFERROR(VLOOKUP(B65,'Machinery Input Tables'!$B$6:$AF$121,13,FALSE)='Machinery Input Tables'!$N$128,1),1,VLOOKUP(B65,'Machinery Input Tables'!$B$6:$AF$121,28,FALSE))*D65,"-")</f>
        <v>3.975743610674769</v>
      </c>
      <c r="I65" s="132">
        <f t="shared" si="2"/>
        <v>7.5686209895675027</v>
      </c>
    </row>
    <row r="66" spans="2:9">
      <c r="B66" s="129" t="s">
        <v>850</v>
      </c>
      <c r="C66" s="129" t="s">
        <v>693</v>
      </c>
      <c r="D66" s="130">
        <v>1</v>
      </c>
      <c r="E66" s="131">
        <f>IFERROR(IF(ISBLANK(C66),"",IF(OR(ISBLANK(B66),IFERROR(VLOOKUP(B66,'Machinery Input Tables'!$B$6:$AF$121,13,FALSE),"")='Machinery Input Tables'!$N$128),1,VLOOKUP(B66,'Machinery Input Tables'!$B$6:$AF$121,28,FALSE))*VLOOKUP(C66,'Machinery Input Tables'!$AH$6:$BA$32,19,FALSE))*D66,"-")</f>
        <v>0.82133333333333325</v>
      </c>
      <c r="F66" s="131">
        <f>IFERROR(IF(AND(ISBLANK(B66)*ISBLANK(C66)),"",IF(ISBLANK(B66),1,IF(VLOOKUP(B66,'Machinery Input Tables'!$B$6:$AF$121,13,FALSE)='Machinery Input Tables'!$N$128,VLOOKUP(B66,'Machinery Input Tables'!$B$6:$AF$121,17,FALSE),VLOOKUP(B66,'Machinery Input Tables'!$B$6:$AF$121,28,FALSE))))*D66,"-")</f>
        <v>6.6666666666666666E-2</v>
      </c>
      <c r="G66" s="132">
        <f>IFERROR(IF(ISBLANK(C66),"",E66*'Machinery Input Tables'!$BP$10+F66*'Machinery Input Tables'!$BP$6+(VLOOKUP(C66,'Machinery Input Tables'!$AH$6:$BA$32,18,FALSE)*IF(IFERROR(VLOOKUP(B66,'Machinery Input Tables'!$B$6:$AF$121,13,FALSE)='Machinery Input Tables'!$N$128,1),1,VLOOKUP(B66,'Machinery Input Tables'!$B$6:$AF$121,28,FALSE))+IFERROR(VLOOKUP(B66,'Machinery Input Tables'!$B$6:$AF$121,27,FALSE),0))*D66),"-")</f>
        <v>10.935572086084932</v>
      </c>
      <c r="H66" s="132">
        <f>IFERROR((IFERROR(VLOOKUP(B66,'Machinery Input Tables'!$B$6:$AF$121,24,FALSE),0)+VLOOKUP(C66,'Machinery Input Tables'!$AH$6:$BA$32,20,FALSE))*IF(IFERROR(VLOOKUP(B66,'Machinery Input Tables'!$B$6:$AF$121,13,FALSE)='Machinery Input Tables'!$N$128,1),1,VLOOKUP(B66,'Machinery Input Tables'!$B$6:$AF$121,28,FALSE))*D66,"-")</f>
        <v>16.019837318672113</v>
      </c>
      <c r="I66" s="132">
        <f t="shared" si="2"/>
        <v>26.955409404757045</v>
      </c>
    </row>
    <row r="67" spans="2:9">
      <c r="B67" s="129" t="s">
        <v>694</v>
      </c>
      <c r="C67" s="129" t="s">
        <v>678</v>
      </c>
      <c r="D67" s="130">
        <v>2</v>
      </c>
      <c r="E67" s="131">
        <f>IFERROR(IF(ISBLANK(C67),"",IF(OR(ISBLANK(B67),IFERROR(VLOOKUP(B67,'Machinery Input Tables'!$B$6:$AF$121,13,FALSE),"")='Machinery Input Tables'!$N$128),1,VLOOKUP(B67,'Machinery Input Tables'!$B$6:$AF$121,28,FALSE))*VLOOKUP(C67,'Machinery Input Tables'!$AH$6:$BA$32,19,FALSE))*D67,"-")</f>
        <v>0.25208333333333333</v>
      </c>
      <c r="F67" s="131">
        <f>IFERROR(IF(AND(ISBLANK(B67)*ISBLANK(C67)),"",IF(ISBLANK(B67),1,IF(VLOOKUP(B67,'Machinery Input Tables'!$B$6:$AF$121,13,FALSE)='Machinery Input Tables'!$N$128,VLOOKUP(B67,'Machinery Input Tables'!$B$6:$AF$121,17,FALSE),VLOOKUP(B67,'Machinery Input Tables'!$B$6:$AF$121,28,FALSE))))*D67,"-")</f>
        <v>1.8333333333333333E-2</v>
      </c>
      <c r="G67" s="132">
        <f>IFERROR(IF(ISBLANK(C67),"",E67*'Machinery Input Tables'!$BP$10+F67*'Machinery Input Tables'!$BP$6+(VLOOKUP(C67,'Machinery Input Tables'!$AH$6:$BA$32,18,FALSE)*IF(IFERROR(VLOOKUP(B67,'Machinery Input Tables'!$B$6:$AF$121,13,FALSE)='Machinery Input Tables'!$N$128,1),1,VLOOKUP(B67,'Machinery Input Tables'!$B$6:$AF$121,28,FALSE))+IFERROR(VLOOKUP(B67,'Machinery Input Tables'!$B$6:$AF$121,27,FALSE),0))*D67),"-")</f>
        <v>5.6238073564489781</v>
      </c>
      <c r="H67" s="132">
        <f>IFERROR((IFERROR(VLOOKUP(B67,'Machinery Input Tables'!$B$6:$AF$121,24,FALSE),0)+VLOOKUP(C67,'Machinery Input Tables'!$AH$6:$BA$32,20,FALSE))*IF(IFERROR(VLOOKUP(B67,'Machinery Input Tables'!$B$6:$AF$121,13,FALSE)='Machinery Input Tables'!$N$128,1),1,VLOOKUP(B67,'Machinery Input Tables'!$B$6:$AF$121,28,FALSE))*D67,"-")</f>
        <v>3.2000737164930664</v>
      </c>
      <c r="I67" s="132">
        <f t="shared" si="2"/>
        <v>8.8238810729420436</v>
      </c>
    </row>
    <row r="68" spans="2:9">
      <c r="B68" s="129" t="s">
        <v>751</v>
      </c>
      <c r="C68" s="129" t="s">
        <v>848</v>
      </c>
      <c r="D68" s="130">
        <v>1</v>
      </c>
      <c r="E68" s="131">
        <f>IFERROR(IF(ISBLANK(C68),"",IF(OR(ISBLANK(B68),IFERROR(VLOOKUP(B68,'Machinery Input Tables'!$B$6:$AF$121,13,FALSE),"")='Machinery Input Tables'!$N$128),1,VLOOKUP(B68,'Machinery Input Tables'!$B$6:$AF$121,28,FALSE))*VLOOKUP(C68,'Machinery Input Tables'!$AH$6:$BA$32,19,FALSE))*D68,"-")</f>
        <v>1.2890625</v>
      </c>
      <c r="F68" s="131">
        <f>IFERROR(IF(AND(ISBLANK(B68)*ISBLANK(C68)),"",IF(ISBLANK(B68),1,IF(VLOOKUP(B68,'Machinery Input Tables'!$B$6:$AF$121,13,FALSE)='Machinery Input Tables'!$N$128,VLOOKUP(B68,'Machinery Input Tables'!$B$6:$AF$121,17,FALSE),VLOOKUP(B68,'Machinery Input Tables'!$B$6:$AF$121,28,FALSE))))*D68,"-")</f>
        <v>5.7291666666666664E-2</v>
      </c>
      <c r="G68" s="132">
        <f>IFERROR(IF(ISBLANK(C68),"",E68*'Machinery Input Tables'!$BP$10+F68*'Machinery Input Tables'!$BP$6+(VLOOKUP(C68,'Machinery Input Tables'!$AH$6:$BA$32,18,FALSE)*IF(IFERROR(VLOOKUP(B68,'Machinery Input Tables'!$B$6:$AF$121,13,FALSE)='Machinery Input Tables'!$N$128,1),1,VLOOKUP(B68,'Machinery Input Tables'!$B$6:$AF$121,28,FALSE))+IFERROR(VLOOKUP(B68,'Machinery Input Tables'!$B$6:$AF$121,27,FALSE),0))*D68),"-")</f>
        <v>10.959267140052072</v>
      </c>
      <c r="H68" s="132">
        <f>IFERROR((IFERROR(VLOOKUP(B68,'Machinery Input Tables'!$B$6:$AF$121,24,FALSE),0)+VLOOKUP(C68,'Machinery Input Tables'!$AH$6:$BA$32,20,FALSE))*IF(IFERROR(VLOOKUP(B68,'Machinery Input Tables'!$B$6:$AF$121,13,FALSE)='Machinery Input Tables'!$N$128,1),1,VLOOKUP(B68,'Machinery Input Tables'!$B$6:$AF$121,28,FALSE))*D68,"-")</f>
        <v>16.907479145828638</v>
      </c>
      <c r="I68" s="132">
        <f t="shared" si="2"/>
        <v>27.866746285880708</v>
      </c>
    </row>
    <row r="69" spans="2:9">
      <c r="B69" s="129" t="s">
        <v>846</v>
      </c>
      <c r="C69" s="129" t="s">
        <v>693</v>
      </c>
      <c r="D69" s="130">
        <v>0.03</v>
      </c>
      <c r="E69" s="131">
        <f>IFERROR(IF(ISBLANK(C69),"",IF(OR(ISBLANK(B69),IFERROR(VLOOKUP(B69,'Machinery Input Tables'!$B$6:$AF$121,13,FALSE),"")='Machinery Input Tables'!$N$128),1,VLOOKUP(B69,'Machinery Input Tables'!$B$6:$AF$121,28,FALSE))*VLOOKUP(C69,'Machinery Input Tables'!$AH$6:$BA$32,19,FALSE))*D69,"-")</f>
        <v>0.36959999999999993</v>
      </c>
      <c r="F69" s="131">
        <f>IFERROR(IF(AND(ISBLANK(B69)*ISBLANK(C69)),"",IF(ISBLANK(B69),1,IF(VLOOKUP(B69,'Machinery Input Tables'!$B$6:$AF$121,13,FALSE)='Machinery Input Tables'!$N$128,VLOOKUP(B69,'Machinery Input Tables'!$B$6:$AF$121,17,FALSE),VLOOKUP(B69,'Machinery Input Tables'!$B$6:$AF$121,28,FALSE))))*D69,"-")</f>
        <v>3.4499999999999996E-2</v>
      </c>
      <c r="G69" s="132">
        <f>IFERROR(IF(ISBLANK(C69),"",E69*'Machinery Input Tables'!$BP$10+F69*'Machinery Input Tables'!$BP$6+(VLOOKUP(C69,'Machinery Input Tables'!$AH$6:$BA$32,18,FALSE)*IF(IFERROR(VLOOKUP(B69,'Machinery Input Tables'!$B$6:$AF$121,13,FALSE)='Machinery Input Tables'!$N$128,1),1,VLOOKUP(B69,'Machinery Input Tables'!$B$6:$AF$121,28,FALSE))+IFERROR(VLOOKUP(B69,'Machinery Input Tables'!$B$6:$AF$121,27,FALSE),0))*D69),"-")</f>
        <v>3.2280993039057222</v>
      </c>
      <c r="H69" s="132">
        <f>IFERROR((IFERROR(VLOOKUP(B69,'Machinery Input Tables'!$B$6:$AF$121,24,FALSE),0)+VLOOKUP(C69,'Machinery Input Tables'!$AH$6:$BA$32,20,FALSE))*IF(IFERROR(VLOOKUP(B69,'Machinery Input Tables'!$B$6:$AF$121,13,FALSE)='Machinery Input Tables'!$N$128,1),1,VLOOKUP(B69,'Machinery Input Tables'!$B$6:$AF$121,28,FALSE))*D69,"-")</f>
        <v>3.9841700808568095</v>
      </c>
      <c r="I69" s="132">
        <f t="shared" si="2"/>
        <v>7.2122693847625321</v>
      </c>
    </row>
    <row r="70" spans="2:9">
      <c r="B70" s="129" t="s">
        <v>729</v>
      </c>
      <c r="C70" s="129" t="s">
        <v>849</v>
      </c>
      <c r="D70" s="130">
        <v>0.08</v>
      </c>
      <c r="E70" s="131">
        <f>IFERROR(IF(ISBLANK(C70),"",IF(OR(ISBLANK(B70),IFERROR(VLOOKUP(B70,'Machinery Input Tables'!$B$6:$AF$121,13,FALSE),"")='Machinery Input Tables'!$N$128),1,VLOOKUP(B70,'Machinery Input Tables'!$B$6:$AF$121,28,FALSE))*VLOOKUP(C70,'Machinery Input Tables'!$AH$6:$BA$32,19,FALSE))*D70,"-")</f>
        <v>0.57000000000000006</v>
      </c>
      <c r="F70" s="131">
        <f>IFERROR(IF(AND(ISBLANK(B70)*ISBLANK(C70)),"",IF(ISBLANK(B70),1,IF(VLOOKUP(B70,'Machinery Input Tables'!$B$6:$AF$121,13,FALSE)='Machinery Input Tables'!$N$128,VLOOKUP(B70,'Machinery Input Tables'!$B$6:$AF$121,17,FALSE),VLOOKUP(B70,'Machinery Input Tables'!$B$6:$AF$121,28,FALSE))))*D70,"-")</f>
        <v>8.8000000000000009E-2</v>
      </c>
      <c r="G70" s="132">
        <f>IFERROR(IF(ISBLANK(C70),"",E70*'Machinery Input Tables'!$BP$10+F70*'Machinery Input Tables'!$BP$6+(VLOOKUP(C70,'Machinery Input Tables'!$AH$6:$BA$32,18,FALSE)*IF(IFERROR(VLOOKUP(B70,'Machinery Input Tables'!$B$6:$AF$121,13,FALSE)='Machinery Input Tables'!$N$128,1),1,VLOOKUP(B70,'Machinery Input Tables'!$B$6:$AF$121,28,FALSE))+IFERROR(VLOOKUP(B70,'Machinery Input Tables'!$B$6:$AF$121,27,FALSE),0))*D70),"-")</f>
        <v>5.8303794797658099</v>
      </c>
      <c r="H70" s="132">
        <f>IFERROR((IFERROR(VLOOKUP(B70,'Machinery Input Tables'!$B$6:$AF$121,24,FALSE),0)+VLOOKUP(C70,'Machinery Input Tables'!$AH$6:$BA$32,20,FALSE))*IF(IFERROR(VLOOKUP(B70,'Machinery Input Tables'!$B$6:$AF$121,13,FALSE)='Machinery Input Tables'!$N$128,1),1,VLOOKUP(B70,'Machinery Input Tables'!$B$6:$AF$121,28,FALSE))*D70,"-")</f>
        <v>3.0229964118042525</v>
      </c>
      <c r="I70" s="132">
        <f t="shared" si="2"/>
        <v>8.853375891570062</v>
      </c>
    </row>
    <row r="71" spans="2:9">
      <c r="B71" s="129" t="s">
        <v>904</v>
      </c>
      <c r="C71" s="129" t="s">
        <v>804</v>
      </c>
      <c r="D71" s="130">
        <v>0.02</v>
      </c>
      <c r="E71" s="131">
        <f>IFERROR(IF(ISBLANK(C71),"",IF(OR(ISBLANK(B71),IFERROR(VLOOKUP(B71,'Machinery Input Tables'!$B$6:$AF$121,13,FALSE),"")='Machinery Input Tables'!$N$128),1,VLOOKUP(B71,'Machinery Input Tables'!$B$6:$AF$121,28,FALSE))*VLOOKUP(C71,'Machinery Input Tables'!$AH$6:$BA$32,19,FALSE))*D71,"-")</f>
        <v>0.1144</v>
      </c>
      <c r="F71" s="131">
        <f>IFERROR(IF(AND(ISBLANK(B71)*ISBLANK(C71)),"",IF(ISBLANK(B71),1,IF(VLOOKUP(B71,'Machinery Input Tables'!$B$6:$AF$121,13,FALSE)='Machinery Input Tables'!$N$128,VLOOKUP(B71,'Machinery Input Tables'!$B$6:$AF$121,17,FALSE),VLOOKUP(B71,'Machinery Input Tables'!$B$6:$AF$121,28,FALSE))))*D71,"-")</f>
        <v>2.1000000000000001E-2</v>
      </c>
      <c r="G71" s="132">
        <f>IFERROR(IF(ISBLANK(C71),"",E71*'Machinery Input Tables'!$BP$10+F71*'Machinery Input Tables'!$BP$6+(VLOOKUP(C71,'Machinery Input Tables'!$AH$6:$BA$32,18,FALSE)*IF(IFERROR(VLOOKUP(B71,'Machinery Input Tables'!$B$6:$AF$121,13,FALSE)='Machinery Input Tables'!$N$128,1),1,VLOOKUP(B71,'Machinery Input Tables'!$B$6:$AF$121,28,FALSE))+IFERROR(VLOOKUP(B71,'Machinery Input Tables'!$B$6:$AF$121,27,FALSE),0))*D71),"-")</f>
        <v>1.1412669275522791</v>
      </c>
      <c r="H71" s="132">
        <f>IFERROR((IFERROR(VLOOKUP(B71,'Machinery Input Tables'!$B$6:$AF$121,24,FALSE),0)+VLOOKUP(C71,'Machinery Input Tables'!$AH$6:$BA$32,20,FALSE))*IF(IFERROR(VLOOKUP(B71,'Machinery Input Tables'!$B$6:$AF$121,13,FALSE)='Machinery Input Tables'!$N$128,1),1,VLOOKUP(B71,'Machinery Input Tables'!$B$6:$AF$121,28,FALSE))*D71,"-")</f>
        <v>0.88121258762975607</v>
      </c>
      <c r="I71" s="132">
        <f t="shared" si="2"/>
        <v>2.0224795151820354</v>
      </c>
    </row>
    <row r="72" spans="2:9">
      <c r="B72" s="129"/>
      <c r="C72" s="129" t="s">
        <v>695</v>
      </c>
      <c r="D72" s="130">
        <v>0.25</v>
      </c>
      <c r="E72" s="131">
        <f>IFERROR(IF(ISBLANK(C72),"",IF(OR(ISBLANK(B72),IFERROR(VLOOKUP(B72,'Machinery Input Tables'!$B$6:$AF$121,13,FALSE),"")='Machinery Input Tables'!$N$128),1,VLOOKUP(B72,'Machinery Input Tables'!$B$6:$AF$121,28,FALSE))*VLOOKUP(C72,'Machinery Input Tables'!$AH$6:$BA$32,19,FALSE))*D72,"-")</f>
        <v>0.75</v>
      </c>
      <c r="F72" s="131">
        <f>IFERROR(IF(AND(ISBLANK(B72)*ISBLANK(C72)),"",IF(ISBLANK(B72),1,IF(VLOOKUP(B72,'Machinery Input Tables'!$B$6:$AF$121,13,FALSE)='Machinery Input Tables'!$N$128,VLOOKUP(B72,'Machinery Input Tables'!$B$6:$AF$121,17,FALSE),VLOOKUP(B72,'Machinery Input Tables'!$B$6:$AF$121,28,FALSE))))*D72,"-")</f>
        <v>0.25</v>
      </c>
      <c r="G72" s="132">
        <f>IFERROR(IF(ISBLANK(C72),"",E72*'Machinery Input Tables'!$BP$10+F72*'Machinery Input Tables'!$BP$6+(VLOOKUP(C72,'Machinery Input Tables'!$AH$6:$BA$32,18,FALSE)*IF(IFERROR(VLOOKUP(B72,'Machinery Input Tables'!$B$6:$AF$121,13,FALSE)='Machinery Input Tables'!$N$128,1),1,VLOOKUP(B72,'Machinery Input Tables'!$B$6:$AF$121,28,FALSE))+IFERROR(VLOOKUP(B72,'Machinery Input Tables'!$B$6:$AF$121,27,FALSE),0))*D72),"-")</f>
        <v>12.05</v>
      </c>
      <c r="H72" s="132">
        <f>IFERROR((IFERROR(VLOOKUP(B72,'Machinery Input Tables'!$B$6:$AF$121,24,FALSE),0)+VLOOKUP(C72,'Machinery Input Tables'!$AH$6:$BA$32,20,FALSE))*IF(IFERROR(VLOOKUP(B72,'Machinery Input Tables'!$B$6:$AF$121,13,FALSE)='Machinery Input Tables'!$N$128,1),1,VLOOKUP(B72,'Machinery Input Tables'!$B$6:$AF$121,28,FALSE))*D72,"-")</f>
        <v>4.9630979032408344</v>
      </c>
      <c r="I72" s="132">
        <f t="shared" si="2"/>
        <v>17.013097903240833</v>
      </c>
    </row>
    <row r="73" spans="2:9">
      <c r="B73" s="133"/>
      <c r="C73" s="133"/>
      <c r="D73" s="134"/>
      <c r="E73" s="135" t="str">
        <f>IFERROR(IF(ISBLANK(C73),"",IF(OR(ISBLANK(B73),IFERROR(VLOOKUP(B73,'Machinery Input Tables'!$B$6:$AF$121,13,FALSE),"")='Machinery Input Tables'!$N$128),1,VLOOKUP(B73,'Machinery Input Tables'!$B$6:$AF$121,28,FALSE))*VLOOKUP(C73,'Machinery Input Tables'!$AH$6:$BA$32,19,FALSE))*D73,"-")</f>
        <v>-</v>
      </c>
      <c r="F73" s="135" t="str">
        <f>IFERROR(IF(AND(ISBLANK(B73)*ISBLANK(C73)),"",IF(ISBLANK(B73),1,IF(VLOOKUP(B73,'Machinery Input Tables'!$B$6:$AF$121,13,FALSE)='Machinery Input Tables'!$N$128,VLOOKUP(B73,'Machinery Input Tables'!$B$6:$AF$121,17,FALSE),VLOOKUP(B73,'Machinery Input Tables'!$B$6:$AF$121,28,FALSE))))*D73,"-")</f>
        <v>-</v>
      </c>
      <c r="G73" s="136" t="str">
        <f>IFERROR(IF(ISBLANK(C73),"",E73*'Machinery Input Tables'!$BP$10+F73*'Machinery Input Tables'!$BP$6+(VLOOKUP(C73,'Machinery Input Tables'!$AH$6:$BA$32,18,FALSE)*IF(IFERROR(VLOOKUP(B73,'Machinery Input Tables'!$B$6:$AF$121,13,FALSE)='Machinery Input Tables'!$N$128,1),1,VLOOKUP(B73,'Machinery Input Tables'!$B$6:$AF$121,28,FALSE))+IFERROR(VLOOKUP(B73,'Machinery Input Tables'!$B$6:$AF$121,27,FALSE),0))*D73),"-")</f>
        <v/>
      </c>
      <c r="H73" s="136" t="str">
        <f>IFERROR((IFERROR(VLOOKUP(B73,'Machinery Input Tables'!$B$6:$AF$121,24,FALSE),0)+VLOOKUP(C73,'Machinery Input Tables'!$AH$6:$BA$32,20,FALSE))*IF(IFERROR(VLOOKUP(B73,'Machinery Input Tables'!$B$6:$AF$121,13,FALSE)='Machinery Input Tables'!$N$128,1),1,VLOOKUP(B73,'Machinery Input Tables'!$B$6:$AF$121,28,FALSE))*D73,"-")</f>
        <v>-</v>
      </c>
      <c r="I73" s="136">
        <f t="shared" si="2"/>
        <v>0</v>
      </c>
    </row>
    <row r="74" spans="2:9">
      <c r="B74" s="126"/>
      <c r="C74" s="137" t="s">
        <v>19</v>
      </c>
      <c r="D74" s="138"/>
      <c r="E74" s="139">
        <f>SUM(E63:E73)</f>
        <v>5.6235406045751635</v>
      </c>
      <c r="F74" s="139">
        <f t="shared" ref="F74:I74" si="3">SUM(F63:F73)</f>
        <v>0.64111846405228756</v>
      </c>
      <c r="G74" s="140">
        <f t="shared" si="3"/>
        <v>60.260582824147392</v>
      </c>
      <c r="H74" s="140">
        <f t="shared" si="3"/>
        <v>61.884522614598971</v>
      </c>
      <c r="I74" s="140">
        <f t="shared" si="3"/>
        <v>122.14510543874638</v>
      </c>
    </row>
    <row r="75" spans="2:9">
      <c r="B75" s="141" t="s">
        <v>874</v>
      </c>
      <c r="C75" s="72"/>
      <c r="D75" s="72"/>
      <c r="E75" s="72"/>
      <c r="F75" s="72"/>
      <c r="G75" s="72"/>
      <c r="H75" s="72"/>
    </row>
    <row r="76" spans="2:9">
      <c r="B76" s="141" t="s">
        <v>875</v>
      </c>
      <c r="C76" s="72"/>
      <c r="D76" s="72"/>
      <c r="E76" s="72"/>
      <c r="F76" s="72"/>
      <c r="G76" s="72"/>
      <c r="H76" s="72"/>
    </row>
    <row r="77" spans="2:9">
      <c r="B77" s="72"/>
      <c r="C77" s="72"/>
      <c r="D77" s="72"/>
      <c r="E77" s="72"/>
      <c r="F77" s="72"/>
      <c r="G77" s="72"/>
      <c r="H77" s="72"/>
    </row>
    <row r="78" spans="2:9" hidden="1">
      <c r="B78" s="72"/>
      <c r="C78" s="72"/>
      <c r="D78" s="72"/>
      <c r="E78" s="72"/>
      <c r="F78" s="72"/>
      <c r="G78" s="72"/>
      <c r="H78" s="72"/>
    </row>
    <row r="79" spans="2:9" hidden="1">
      <c r="H79" s="72"/>
    </row>
    <row r="80" spans="2:9" hidden="1">
      <c r="H80" s="72"/>
    </row>
    <row r="81" spans="2:8" hidden="1">
      <c r="H81" s="72"/>
    </row>
    <row r="82" spans="2:8" hidden="1">
      <c r="H82" s="72"/>
    </row>
    <row r="83" spans="2:8" hidden="1">
      <c r="H83" s="72"/>
    </row>
    <row r="84" spans="2:8" hidden="1">
      <c r="H84" s="72"/>
    </row>
    <row r="85" spans="2:8" hidden="1">
      <c r="H85" s="72"/>
    </row>
    <row r="86" spans="2:8" hidden="1">
      <c r="H86" s="72"/>
    </row>
    <row r="87" spans="2:8" hidden="1">
      <c r="H87" s="72"/>
    </row>
    <row r="88" spans="2:8" hidden="1">
      <c r="H88" s="72"/>
    </row>
    <row r="89" spans="2:8" hidden="1">
      <c r="B89" s="72"/>
      <c r="C89" s="72"/>
      <c r="D89" s="72"/>
      <c r="E89" s="74" t="s">
        <v>803</v>
      </c>
      <c r="F89" s="142">
        <f>F47</f>
        <v>108.16720396959256</v>
      </c>
      <c r="G89" s="72"/>
      <c r="H89" s="72"/>
    </row>
    <row r="90" spans="2:8" hidden="1">
      <c r="B90" s="72"/>
      <c r="C90" s="72"/>
      <c r="D90" s="72"/>
      <c r="E90" s="72"/>
      <c r="F90" s="72"/>
      <c r="G90" s="72"/>
      <c r="H90" s="72"/>
    </row>
    <row r="91" spans="2:8" hidden="1">
      <c r="H91" s="72"/>
    </row>
    <row r="92" spans="2:8" hidden="1">
      <c r="H92" s="72"/>
    </row>
    <row r="93" spans="2:8" hidden="1">
      <c r="H93" s="72"/>
    </row>
    <row r="94" spans="2:8" hidden="1">
      <c r="H94" s="72"/>
    </row>
    <row r="105" spans="8:8" hidden="1">
      <c r="H105" s="72"/>
    </row>
    <row r="106" spans="8:8" hidden="1">
      <c r="H106" s="72"/>
    </row>
    <row r="934" spans="2:3" hidden="1">
      <c r="B934" s="3" t="s">
        <v>41</v>
      </c>
    </row>
    <row r="935" spans="2:3" hidden="1">
      <c r="B935" s="3" t="s">
        <v>42</v>
      </c>
      <c r="C935" s="3">
        <v>5</v>
      </c>
    </row>
    <row r="936" spans="2:3" hidden="1">
      <c r="B936" s="3" t="s">
        <v>43</v>
      </c>
      <c r="C936" s="3">
        <v>1</v>
      </c>
    </row>
    <row r="937" spans="2:3" hidden="1">
      <c r="B937" s="3" t="s">
        <v>44</v>
      </c>
      <c r="C937" s="3">
        <v>1</v>
      </c>
    </row>
    <row r="938" spans="2:3" hidden="1">
      <c r="B938" s="3" t="s">
        <v>45</v>
      </c>
      <c r="C938" s="3">
        <v>2</v>
      </c>
    </row>
    <row r="939" spans="2:3" hidden="1">
      <c r="B939" s="3" t="s">
        <v>46</v>
      </c>
      <c r="C939" s="3">
        <v>1</v>
      </c>
    </row>
    <row r="940" spans="2:3" hidden="1">
      <c r="B940" s="3" t="s">
        <v>47</v>
      </c>
      <c r="C940" s="3">
        <v>0</v>
      </c>
    </row>
    <row r="941" spans="2:3" hidden="1">
      <c r="B941" s="3" t="s">
        <v>48</v>
      </c>
      <c r="C941" s="3">
        <v>0</v>
      </c>
    </row>
    <row r="942" spans="2:3" hidden="1">
      <c r="B942" s="3" t="s">
        <v>49</v>
      </c>
      <c r="C942" s="3">
        <v>0</v>
      </c>
    </row>
    <row r="943" spans="2:3" hidden="1">
      <c r="B943" s="3" t="s">
        <v>50</v>
      </c>
      <c r="C943" s="3">
        <v>0</v>
      </c>
    </row>
    <row r="944" spans="2:3" hidden="1">
      <c r="B944" s="3" t="s">
        <v>51</v>
      </c>
      <c r="C944" s="3">
        <v>0</v>
      </c>
    </row>
    <row r="945" spans="2:3" hidden="1">
      <c r="B945" s="3" t="s">
        <v>52</v>
      </c>
      <c r="C945" s="3">
        <v>0</v>
      </c>
    </row>
    <row r="946" spans="2:3" hidden="1">
      <c r="B946" s="3" t="s">
        <v>53</v>
      </c>
      <c r="C946" s="3" t="b">
        <v>1</v>
      </c>
    </row>
    <row r="947" spans="2:3" hidden="1">
      <c r="B947" s="3" t="s">
        <v>54</v>
      </c>
      <c r="C947" s="3">
        <v>0</v>
      </c>
    </row>
    <row r="948" spans="2:3" hidden="1">
      <c r="B948" s="3" t="s">
        <v>55</v>
      </c>
      <c r="C948" s="3" t="b">
        <v>1</v>
      </c>
    </row>
    <row r="949" spans="2:3" hidden="1">
      <c r="B949" s="3" t="s">
        <v>56</v>
      </c>
      <c r="C949" s="3">
        <v>0</v>
      </c>
    </row>
    <row r="950" spans="2:3" hidden="1">
      <c r="B950" s="3" t="s">
        <v>57</v>
      </c>
      <c r="C950" s="3">
        <v>0</v>
      </c>
    </row>
    <row r="951" spans="2:3" hidden="1">
      <c r="B951" s="3" t="s">
        <v>58</v>
      </c>
      <c r="C951" s="3" t="b">
        <v>1</v>
      </c>
    </row>
    <row r="952" spans="2:3" hidden="1">
      <c r="B952" s="3" t="s">
        <v>59</v>
      </c>
      <c r="C952" s="3">
        <v>0</v>
      </c>
    </row>
    <row r="953" spans="2:3" hidden="1">
      <c r="B953" s="3" t="s">
        <v>60</v>
      </c>
      <c r="C953" s="3">
        <v>0</v>
      </c>
    </row>
    <row r="954" spans="2:3" hidden="1">
      <c r="B954" s="3" t="s">
        <v>61</v>
      </c>
      <c r="C954" s="3">
        <v>0</v>
      </c>
    </row>
    <row r="955" spans="2:3" hidden="1">
      <c r="B955" s="3" t="s">
        <v>62</v>
      </c>
      <c r="C955" s="3">
        <v>0</v>
      </c>
    </row>
    <row r="956" spans="2:3" hidden="1">
      <c r="B956" s="3" t="s">
        <v>63</v>
      </c>
      <c r="C956" s="3" t="s">
        <v>358</v>
      </c>
    </row>
    <row r="957" spans="2:3" hidden="1">
      <c r="B957" s="3" t="s">
        <v>64</v>
      </c>
      <c r="C957" s="3">
        <v>100</v>
      </c>
    </row>
    <row r="958" spans="2:3" hidden="1">
      <c r="B958" s="3" t="s">
        <v>65</v>
      </c>
      <c r="C958" s="3">
        <v>25</v>
      </c>
    </row>
    <row r="959" spans="2:3" hidden="1">
      <c r="B959" s="3" t="s">
        <v>66</v>
      </c>
      <c r="C959" s="3">
        <v>9</v>
      </c>
    </row>
    <row r="960" spans="2:3" hidden="1">
      <c r="B960" s="3" t="s">
        <v>67</v>
      </c>
      <c r="C960" s="3">
        <v>0</v>
      </c>
    </row>
    <row r="961" spans="2:3" hidden="1">
      <c r="B961" s="3" t="s">
        <v>68</v>
      </c>
      <c r="C961" s="3">
        <v>0</v>
      </c>
    </row>
    <row r="962" spans="2:3" hidden="1">
      <c r="B962" s="3" t="s">
        <v>69</v>
      </c>
      <c r="C962" s="3">
        <v>0</v>
      </c>
    </row>
    <row r="963" spans="2:3" hidden="1">
      <c r="B963" s="3" t="s">
        <v>70</v>
      </c>
      <c r="C963" s="3">
        <v>0</v>
      </c>
    </row>
    <row r="964" spans="2:3" hidden="1">
      <c r="B964" s="3" t="s">
        <v>71</v>
      </c>
      <c r="C964" s="3">
        <v>0</v>
      </c>
    </row>
    <row r="965" spans="2:3" hidden="1">
      <c r="B965" s="3" t="s">
        <v>72</v>
      </c>
      <c r="C965" s="3">
        <v>60</v>
      </c>
    </row>
    <row r="966" spans="2:3" hidden="1">
      <c r="B966" s="3" t="s">
        <v>73</v>
      </c>
      <c r="C966" s="3">
        <v>0</v>
      </c>
    </row>
    <row r="967" spans="2:3" hidden="1">
      <c r="B967" s="3" t="s">
        <v>74</v>
      </c>
      <c r="C967" s="3">
        <v>0</v>
      </c>
    </row>
    <row r="968" spans="2:3" hidden="1">
      <c r="B968" s="3" t="s">
        <v>75</v>
      </c>
      <c r="C968" s="3">
        <v>0</v>
      </c>
    </row>
    <row r="969" spans="2:3" hidden="1">
      <c r="B969" s="3" t="s">
        <v>76</v>
      </c>
      <c r="C969" s="3">
        <v>0</v>
      </c>
    </row>
    <row r="970" spans="2:3" hidden="1">
      <c r="B970" s="3" t="s">
        <v>77</v>
      </c>
      <c r="C970" s="3">
        <v>0</v>
      </c>
    </row>
    <row r="971" spans="2:3" hidden="1">
      <c r="B971" s="3" t="s">
        <v>78</v>
      </c>
      <c r="C971" s="3">
        <v>200000</v>
      </c>
    </row>
    <row r="972" spans="2:3" hidden="1">
      <c r="B972" s="3" t="s">
        <v>79</v>
      </c>
      <c r="C972" s="3">
        <v>0</v>
      </c>
    </row>
    <row r="973" spans="2:3" hidden="1">
      <c r="B973" s="3" t="s">
        <v>80</v>
      </c>
      <c r="C973" s="3">
        <v>0</v>
      </c>
    </row>
    <row r="974" spans="2:3" hidden="1">
      <c r="B974" s="3" t="s">
        <v>81</v>
      </c>
      <c r="C974" s="3">
        <v>0</v>
      </c>
    </row>
    <row r="975" spans="2:3" hidden="1">
      <c r="B975" s="3" t="s">
        <v>82</v>
      </c>
      <c r="C975" s="3">
        <v>0</v>
      </c>
    </row>
    <row r="976" spans="2:3" hidden="1">
      <c r="B976" s="3" t="s">
        <v>83</v>
      </c>
      <c r="C976" s="3">
        <v>0</v>
      </c>
    </row>
    <row r="977" spans="2:3" hidden="1">
      <c r="B977" s="3" t="s">
        <v>84</v>
      </c>
      <c r="C977" s="3">
        <v>0</v>
      </c>
    </row>
    <row r="978" spans="2:3" hidden="1">
      <c r="B978" s="3" t="s">
        <v>85</v>
      </c>
      <c r="C978" s="3">
        <v>0</v>
      </c>
    </row>
    <row r="979" spans="2:3" hidden="1">
      <c r="B979" s="3" t="s">
        <v>86</v>
      </c>
      <c r="C979" s="3">
        <v>20</v>
      </c>
    </row>
    <row r="980" spans="2:3" hidden="1">
      <c r="B980" s="3" t="s">
        <v>87</v>
      </c>
      <c r="C980" s="3">
        <v>35</v>
      </c>
    </row>
    <row r="981" spans="2:3" hidden="1">
      <c r="B981" s="3" t="s">
        <v>88</v>
      </c>
      <c r="C981" s="3">
        <v>0</v>
      </c>
    </row>
    <row r="982" spans="2:3" hidden="1">
      <c r="B982" s="3" t="s">
        <v>89</v>
      </c>
      <c r="C982" s="3">
        <v>0</v>
      </c>
    </row>
    <row r="983" spans="2:3" hidden="1">
      <c r="B983" s="3" t="s">
        <v>90</v>
      </c>
      <c r="C983" s="3">
        <v>0</v>
      </c>
    </row>
    <row r="984" spans="2:3" hidden="1">
      <c r="B984" s="3" t="s">
        <v>91</v>
      </c>
      <c r="C984" s="3">
        <v>0</v>
      </c>
    </row>
    <row r="985" spans="2:3" hidden="1">
      <c r="B985" s="3" t="s">
        <v>92</v>
      </c>
      <c r="C985" s="3">
        <v>0</v>
      </c>
    </row>
    <row r="986" spans="2:3" hidden="1">
      <c r="B986" s="3" t="s">
        <v>93</v>
      </c>
      <c r="C986" s="3">
        <v>0</v>
      </c>
    </row>
    <row r="987" spans="2:3" hidden="1">
      <c r="B987" s="3" t="s">
        <v>94</v>
      </c>
      <c r="C987" s="3">
        <v>0.49</v>
      </c>
    </row>
    <row r="988" spans="2:3" hidden="1">
      <c r="B988" s="3" t="s">
        <v>95</v>
      </c>
      <c r="C988" s="3">
        <v>0.4</v>
      </c>
    </row>
    <row r="989" spans="2:3" hidden="1">
      <c r="B989" s="3" t="s">
        <v>96</v>
      </c>
      <c r="C989" s="3">
        <v>0</v>
      </c>
    </row>
    <row r="990" spans="2:3" hidden="1">
      <c r="B990" s="3" t="s">
        <v>97</v>
      </c>
      <c r="C990" s="3">
        <v>0</v>
      </c>
    </row>
    <row r="991" spans="2:3" hidden="1">
      <c r="B991" s="3" t="s">
        <v>98</v>
      </c>
      <c r="C991" s="3">
        <v>0</v>
      </c>
    </row>
    <row r="992" spans="2:3" hidden="1">
      <c r="B992" s="3" t="s">
        <v>99</v>
      </c>
      <c r="C992" s="3">
        <v>0</v>
      </c>
    </row>
    <row r="993" spans="2:3" hidden="1">
      <c r="B993" s="3" t="s">
        <v>100</v>
      </c>
      <c r="C993" s="3">
        <v>0</v>
      </c>
    </row>
    <row r="994" spans="2:3" hidden="1">
      <c r="B994" s="3" t="s">
        <v>101</v>
      </c>
      <c r="C994" s="3">
        <v>0</v>
      </c>
    </row>
    <row r="995" spans="2:3" hidden="1">
      <c r="B995" s="3" t="s">
        <v>102</v>
      </c>
      <c r="C995" s="3">
        <v>1</v>
      </c>
    </row>
    <row r="996" spans="2:3" hidden="1">
      <c r="B996" s="3" t="s">
        <v>103</v>
      </c>
      <c r="C996" s="3">
        <v>0</v>
      </c>
    </row>
    <row r="997" spans="2:3" hidden="1">
      <c r="B997" s="3" t="s">
        <v>104</v>
      </c>
      <c r="C997" s="3">
        <v>0</v>
      </c>
    </row>
    <row r="998" spans="2:3" hidden="1">
      <c r="B998" s="3" t="s">
        <v>105</v>
      </c>
      <c r="C998" s="3">
        <v>1</v>
      </c>
    </row>
    <row r="999" spans="2:3" hidden="1">
      <c r="B999" s="3" t="s">
        <v>106</v>
      </c>
      <c r="C999" s="3">
        <v>0</v>
      </c>
    </row>
    <row r="1000" spans="2:3" hidden="1">
      <c r="B1000" s="3" t="s">
        <v>107</v>
      </c>
      <c r="C1000" s="3">
        <v>0</v>
      </c>
    </row>
    <row r="1001" spans="2:3" hidden="1">
      <c r="B1001" s="3" t="s">
        <v>108</v>
      </c>
      <c r="C1001" s="3">
        <v>0</v>
      </c>
    </row>
    <row r="1002" spans="2:3" hidden="1">
      <c r="B1002" s="3" t="s">
        <v>109</v>
      </c>
      <c r="C1002" s="3">
        <v>0</v>
      </c>
    </row>
    <row r="1003" spans="2:3" hidden="1">
      <c r="B1003" s="3" t="s">
        <v>110</v>
      </c>
      <c r="C1003" s="3">
        <v>8.75</v>
      </c>
    </row>
    <row r="1004" spans="2:3" hidden="1">
      <c r="B1004" s="3" t="s">
        <v>111</v>
      </c>
      <c r="C1004" s="3">
        <v>0</v>
      </c>
    </row>
    <row r="1005" spans="2:3" hidden="1">
      <c r="B1005" s="3" t="s">
        <v>112</v>
      </c>
      <c r="C1005" s="3">
        <v>0</v>
      </c>
    </row>
    <row r="1006" spans="2:3" hidden="1">
      <c r="B1006" s="3" t="s">
        <v>113</v>
      </c>
      <c r="C1006" s="3">
        <v>0</v>
      </c>
    </row>
    <row r="1007" spans="2:3" hidden="1">
      <c r="B1007" s="3" t="s">
        <v>114</v>
      </c>
      <c r="C1007" s="3">
        <v>0</v>
      </c>
    </row>
    <row r="1008" spans="2:3" hidden="1">
      <c r="B1008" s="3" t="s">
        <v>115</v>
      </c>
      <c r="C1008" s="3">
        <v>0</v>
      </c>
    </row>
    <row r="1009" spans="2:3" hidden="1">
      <c r="B1009" s="3" t="s">
        <v>116</v>
      </c>
      <c r="C1009" s="3">
        <v>0</v>
      </c>
    </row>
    <row r="1010" spans="2:3" hidden="1">
      <c r="B1010" s="3" t="s">
        <v>117</v>
      </c>
      <c r="C1010" s="3">
        <v>0</v>
      </c>
    </row>
    <row r="1011" spans="2:3" hidden="1">
      <c r="B1011" s="3" t="s">
        <v>118</v>
      </c>
      <c r="C1011" s="3">
        <v>0</v>
      </c>
    </row>
    <row r="1012" spans="2:3" hidden="1">
      <c r="B1012" s="3" t="s">
        <v>119</v>
      </c>
      <c r="C1012" s="3">
        <v>0</v>
      </c>
    </row>
    <row r="1013" spans="2:3" hidden="1">
      <c r="B1013" s="3" t="s">
        <v>120</v>
      </c>
      <c r="C1013" s="3">
        <v>0</v>
      </c>
    </row>
    <row r="1014" spans="2:3" hidden="1">
      <c r="B1014" s="3" t="s">
        <v>121</v>
      </c>
      <c r="C1014" s="3">
        <v>0</v>
      </c>
    </row>
    <row r="1015" spans="2:3" hidden="1">
      <c r="B1015" s="3" t="s">
        <v>122</v>
      </c>
      <c r="C1015" s="3">
        <v>0</v>
      </c>
    </row>
    <row r="1016" spans="2:3" hidden="1">
      <c r="B1016" s="3" t="s">
        <v>123</v>
      </c>
      <c r="C1016" s="3">
        <v>0</v>
      </c>
    </row>
    <row r="1017" spans="2:3" hidden="1">
      <c r="B1017" s="3" t="s">
        <v>124</v>
      </c>
      <c r="C1017" s="3">
        <v>0</v>
      </c>
    </row>
    <row r="1018" spans="2:3" hidden="1">
      <c r="B1018" s="3" t="s">
        <v>125</v>
      </c>
      <c r="C1018" s="3">
        <v>0.5</v>
      </c>
    </row>
    <row r="1019" spans="2:3" hidden="1">
      <c r="B1019" s="3" t="s">
        <v>126</v>
      </c>
      <c r="C1019" s="3">
        <v>13.5</v>
      </c>
    </row>
    <row r="1020" spans="2:3" hidden="1">
      <c r="B1020" s="3" t="s">
        <v>127</v>
      </c>
      <c r="C1020" s="3">
        <v>18</v>
      </c>
    </row>
    <row r="1021" spans="2:3" hidden="1">
      <c r="B1021" s="3" t="s">
        <v>128</v>
      </c>
      <c r="C1021" s="3">
        <v>0</v>
      </c>
    </row>
    <row r="1022" spans="2:3" hidden="1">
      <c r="B1022" s="3" t="s">
        <v>129</v>
      </c>
      <c r="C1022" s="3">
        <v>0</v>
      </c>
    </row>
    <row r="1023" spans="2:3" hidden="1">
      <c r="B1023" s="3" t="s">
        <v>130</v>
      </c>
      <c r="C1023" s="3">
        <v>0</v>
      </c>
    </row>
    <row r="1024" spans="2:3" hidden="1">
      <c r="B1024" s="3" t="s">
        <v>131</v>
      </c>
      <c r="C1024" s="3">
        <v>3600</v>
      </c>
    </row>
    <row r="1025" spans="2:3" hidden="1">
      <c r="B1025" s="3" t="s">
        <v>132</v>
      </c>
      <c r="C1025" s="3">
        <v>0</v>
      </c>
    </row>
    <row r="1026" spans="2:3" hidden="1">
      <c r="B1026" s="3" t="s">
        <v>133</v>
      </c>
      <c r="C1026" s="3">
        <v>0</v>
      </c>
    </row>
    <row r="1027" spans="2:3" hidden="1">
      <c r="B1027" s="3" t="s">
        <v>134</v>
      </c>
      <c r="C1027" s="3">
        <v>0</v>
      </c>
    </row>
    <row r="1028" spans="2:3" hidden="1">
      <c r="B1028" s="3" t="s">
        <v>135</v>
      </c>
      <c r="C1028" s="3">
        <v>0</v>
      </c>
    </row>
    <row r="1029" spans="2:3" hidden="1">
      <c r="B1029" s="3" t="s">
        <v>136</v>
      </c>
      <c r="C1029" s="3">
        <v>6</v>
      </c>
    </row>
    <row r="1030" spans="2:3" hidden="1">
      <c r="B1030" s="3" t="s">
        <v>137</v>
      </c>
      <c r="C1030" s="3">
        <v>3.65</v>
      </c>
    </row>
    <row r="1031" spans="2:3" hidden="1">
      <c r="B1031" s="3" t="s">
        <v>138</v>
      </c>
      <c r="C1031" s="3">
        <v>3.38</v>
      </c>
    </row>
    <row r="1032" spans="2:3" hidden="1">
      <c r="B1032" s="3" t="s">
        <v>139</v>
      </c>
      <c r="C1032" s="3">
        <v>0</v>
      </c>
    </row>
    <row r="1033" spans="2:3" hidden="1">
      <c r="B1033" s="3" t="s">
        <v>140</v>
      </c>
      <c r="C1033" s="3">
        <v>0</v>
      </c>
    </row>
    <row r="1034" spans="2:3" hidden="1">
      <c r="B1034" s="3" t="s">
        <v>141</v>
      </c>
      <c r="C1034" s="3">
        <v>0</v>
      </c>
    </row>
    <row r="1035" spans="2:3" hidden="1">
      <c r="B1035" s="3" t="s">
        <v>142</v>
      </c>
      <c r="C1035" s="3">
        <v>0</v>
      </c>
    </row>
    <row r="1036" spans="2:3" hidden="1">
      <c r="B1036" s="3" t="s">
        <v>143</v>
      </c>
      <c r="C1036" s="3">
        <v>0</v>
      </c>
    </row>
    <row r="1037" spans="2:3" hidden="1">
      <c r="B1037" s="3" t="s">
        <v>144</v>
      </c>
      <c r="C1037" s="3">
        <v>0</v>
      </c>
    </row>
    <row r="1038" spans="2:3" hidden="1">
      <c r="B1038" s="3" t="s">
        <v>145</v>
      </c>
      <c r="C1038" s="3">
        <v>0</v>
      </c>
    </row>
    <row r="1039" spans="2:3" hidden="1">
      <c r="B1039" s="3" t="s">
        <v>146</v>
      </c>
      <c r="C1039" s="3">
        <v>0</v>
      </c>
    </row>
    <row r="1040" spans="2:3" hidden="1">
      <c r="B1040" s="3" t="s">
        <v>147</v>
      </c>
      <c r="C1040" s="3">
        <v>0</v>
      </c>
    </row>
    <row r="1041" spans="2:3" hidden="1">
      <c r="B1041" s="3" t="s">
        <v>148</v>
      </c>
      <c r="C1041" s="3">
        <v>5</v>
      </c>
    </row>
    <row r="1042" spans="2:3" hidden="1">
      <c r="B1042" s="3" t="s">
        <v>149</v>
      </c>
      <c r="C1042" s="3">
        <v>0</v>
      </c>
    </row>
    <row r="1043" spans="2:3" hidden="1">
      <c r="B1043" s="3" t="s">
        <v>150</v>
      </c>
      <c r="C1043" s="3">
        <v>0</v>
      </c>
    </row>
    <row r="1044" spans="2:3" hidden="1">
      <c r="B1044" s="3" t="s">
        <v>151</v>
      </c>
      <c r="C1044" s="3">
        <v>0</v>
      </c>
    </row>
    <row r="1045" spans="2:3" hidden="1">
      <c r="B1045" s="3" t="s">
        <v>152</v>
      </c>
      <c r="C1045" s="3">
        <v>6800</v>
      </c>
    </row>
    <row r="1046" spans="2:3" hidden="1">
      <c r="B1046" s="3" t="s">
        <v>153</v>
      </c>
      <c r="C1046" s="3">
        <v>0</v>
      </c>
    </row>
    <row r="1047" spans="2:3" hidden="1">
      <c r="B1047" s="3" t="s">
        <v>154</v>
      </c>
      <c r="C1047" s="3">
        <v>0</v>
      </c>
    </row>
    <row r="1048" spans="2:3" hidden="1">
      <c r="B1048" s="3" t="s">
        <v>155</v>
      </c>
      <c r="C1048" s="3">
        <v>8500</v>
      </c>
    </row>
    <row r="1049" spans="2:3" hidden="1">
      <c r="B1049" s="3" t="s">
        <v>156</v>
      </c>
      <c r="C1049" s="3">
        <v>0</v>
      </c>
    </row>
    <row r="1050" spans="2:3" hidden="1">
      <c r="B1050" s="3" t="s">
        <v>157</v>
      </c>
      <c r="C1050" s="3">
        <v>15000</v>
      </c>
    </row>
    <row r="1051" spans="2:3" hidden="1">
      <c r="B1051" s="3" t="s">
        <v>158</v>
      </c>
      <c r="C1051" s="3">
        <v>3</v>
      </c>
    </row>
    <row r="1052" spans="2:3" hidden="1">
      <c r="B1052" s="3" t="s">
        <v>159</v>
      </c>
      <c r="C1052" s="3">
        <v>0</v>
      </c>
    </row>
    <row r="1053" spans="2:3" hidden="1">
      <c r="B1053" s="3" t="s">
        <v>160</v>
      </c>
      <c r="C1053" s="3">
        <v>0</v>
      </c>
    </row>
    <row r="1054" spans="2:3" hidden="1">
      <c r="B1054" s="3" t="s">
        <v>161</v>
      </c>
      <c r="C1054" s="3">
        <v>0</v>
      </c>
    </row>
    <row r="1055" spans="2:3" hidden="1">
      <c r="B1055" s="3" t="s">
        <v>162</v>
      </c>
      <c r="C1055" s="3">
        <v>0</v>
      </c>
    </row>
    <row r="1056" spans="2:3" hidden="1">
      <c r="B1056" s="3" t="s">
        <v>163</v>
      </c>
      <c r="C1056" s="3">
        <v>0</v>
      </c>
    </row>
    <row r="1057" spans="2:3" hidden="1">
      <c r="B1057" s="3" t="s">
        <v>164</v>
      </c>
      <c r="C1057" s="3">
        <v>0</v>
      </c>
    </row>
    <row r="1058" spans="2:3" hidden="1">
      <c r="B1058" s="3" t="s">
        <v>165</v>
      </c>
      <c r="C1058" s="3">
        <v>0</v>
      </c>
    </row>
    <row r="1059" spans="2:3" hidden="1">
      <c r="B1059" s="3" t="s">
        <v>166</v>
      </c>
      <c r="C1059" s="3">
        <v>0</v>
      </c>
    </row>
    <row r="1060" spans="2:3" hidden="1">
      <c r="B1060" s="3" t="s">
        <v>167</v>
      </c>
      <c r="C1060" s="3">
        <v>0</v>
      </c>
    </row>
    <row r="1061" spans="2:3" hidden="1">
      <c r="B1061" s="3" t="s">
        <v>168</v>
      </c>
      <c r="C1061" s="3">
        <v>0</v>
      </c>
    </row>
    <row r="1062" spans="2:3" hidden="1">
      <c r="B1062" s="3" t="s">
        <v>169</v>
      </c>
      <c r="C1062" s="3">
        <v>0</v>
      </c>
    </row>
    <row r="1063" spans="2:3" hidden="1">
      <c r="B1063" s="3" t="s">
        <v>170</v>
      </c>
      <c r="C1063" s="3">
        <v>0</v>
      </c>
    </row>
    <row r="1064" spans="2:3" hidden="1">
      <c r="B1064" s="3" t="s">
        <v>171</v>
      </c>
      <c r="C1064" s="3">
        <v>0</v>
      </c>
    </row>
    <row r="1065" spans="2:3" hidden="1">
      <c r="B1065" s="3" t="s">
        <v>172</v>
      </c>
      <c r="C1065" s="3">
        <v>0</v>
      </c>
    </row>
    <row r="1066" spans="2:3" hidden="1">
      <c r="B1066" s="3" t="s">
        <v>173</v>
      </c>
      <c r="C1066" s="3">
        <v>0</v>
      </c>
    </row>
    <row r="1067" spans="2:3" hidden="1">
      <c r="B1067" s="3" t="s">
        <v>174</v>
      </c>
      <c r="C1067" s="3">
        <v>0</v>
      </c>
    </row>
    <row r="1068" spans="2:3" hidden="1">
      <c r="B1068" s="3" t="s">
        <v>175</v>
      </c>
      <c r="C1068" s="3">
        <v>0</v>
      </c>
    </row>
    <row r="1069" spans="2:3" hidden="1">
      <c r="B1069" s="3" t="s">
        <v>176</v>
      </c>
      <c r="C1069" s="3">
        <v>0</v>
      </c>
    </row>
    <row r="1070" spans="2:3" hidden="1">
      <c r="B1070" s="3" t="s">
        <v>177</v>
      </c>
      <c r="C1070" s="3">
        <v>0</v>
      </c>
    </row>
    <row r="1071" spans="2:3" hidden="1">
      <c r="B1071" s="3" t="s">
        <v>178</v>
      </c>
      <c r="C1071" s="3">
        <v>0</v>
      </c>
    </row>
    <row r="1072" spans="2:3" hidden="1">
      <c r="B1072" s="3" t="s">
        <v>179</v>
      </c>
      <c r="C1072" s="3">
        <v>0</v>
      </c>
    </row>
    <row r="1073" spans="2:3" hidden="1">
      <c r="B1073" s="3" t="s">
        <v>180</v>
      </c>
      <c r="C1073" s="3">
        <v>0</v>
      </c>
    </row>
    <row r="1074" spans="2:3" hidden="1">
      <c r="B1074" s="3" t="s">
        <v>181</v>
      </c>
      <c r="C1074" s="3">
        <v>0</v>
      </c>
    </row>
    <row r="1075" spans="2:3" hidden="1">
      <c r="B1075" s="3" t="s">
        <v>182</v>
      </c>
      <c r="C1075" s="3">
        <v>0</v>
      </c>
    </row>
    <row r="1076" spans="2:3" hidden="1">
      <c r="B1076" s="3" t="s">
        <v>183</v>
      </c>
      <c r="C1076" s="3">
        <v>0</v>
      </c>
    </row>
    <row r="1077" spans="2:3" hidden="1">
      <c r="B1077" s="3" t="s">
        <v>184</v>
      </c>
      <c r="C1077" s="3">
        <v>0</v>
      </c>
    </row>
    <row r="1078" spans="2:3" hidden="1">
      <c r="B1078" s="3" t="s">
        <v>185</v>
      </c>
      <c r="C1078" s="3">
        <v>0</v>
      </c>
    </row>
    <row r="1079" spans="2:3" hidden="1">
      <c r="B1079" s="3" t="s">
        <v>186</v>
      </c>
      <c r="C1079" s="3">
        <v>0</v>
      </c>
    </row>
    <row r="1080" spans="2:3" hidden="1">
      <c r="B1080" s="3" t="s">
        <v>187</v>
      </c>
      <c r="C1080" s="3">
        <v>0</v>
      </c>
    </row>
    <row r="1081" spans="2:3" hidden="1">
      <c r="B1081" s="3" t="s">
        <v>188</v>
      </c>
      <c r="C1081" s="3">
        <v>0</v>
      </c>
    </row>
    <row r="1082" spans="2:3" hidden="1">
      <c r="B1082" s="3" t="s">
        <v>189</v>
      </c>
      <c r="C1082" s="3">
        <v>0</v>
      </c>
    </row>
    <row r="1083" spans="2:3" hidden="1">
      <c r="B1083" s="3" t="s">
        <v>190</v>
      </c>
      <c r="C1083" s="3">
        <v>0</v>
      </c>
    </row>
    <row r="1084" spans="2:3" hidden="1">
      <c r="B1084" s="3" t="s">
        <v>191</v>
      </c>
      <c r="C1084" s="3" t="s">
        <v>192</v>
      </c>
    </row>
    <row r="1085" spans="2:3" hidden="1">
      <c r="B1085" s="3" t="s">
        <v>193</v>
      </c>
      <c r="C1085" s="3" t="s">
        <v>194</v>
      </c>
    </row>
    <row r="1086" spans="2:3" hidden="1">
      <c r="B1086" s="3" t="s">
        <v>195</v>
      </c>
      <c r="C1086" s="3" t="s">
        <v>196</v>
      </c>
    </row>
    <row r="1087" spans="2:3" hidden="1">
      <c r="B1087" s="3" t="s">
        <v>197</v>
      </c>
      <c r="C1087" s="3" t="s">
        <v>198</v>
      </c>
    </row>
    <row r="1088" spans="2:3" hidden="1">
      <c r="B1088" s="3" t="s">
        <v>199</v>
      </c>
      <c r="C1088" s="3" t="s">
        <v>200</v>
      </c>
    </row>
    <row r="1089" spans="2:3" hidden="1">
      <c r="B1089" s="3" t="s">
        <v>201</v>
      </c>
      <c r="C1089" s="3" t="s">
        <v>202</v>
      </c>
    </row>
    <row r="1090" spans="2:3" hidden="1">
      <c r="B1090" s="3" t="s">
        <v>203</v>
      </c>
      <c r="C1090" s="3" t="s">
        <v>204</v>
      </c>
    </row>
    <row r="1091" spans="2:3" hidden="1">
      <c r="B1091" s="3" t="s">
        <v>205</v>
      </c>
      <c r="C1091" s="3" t="s">
        <v>206</v>
      </c>
    </row>
    <row r="1092" spans="2:3" hidden="1">
      <c r="B1092" s="3" t="s">
        <v>207</v>
      </c>
      <c r="C1092" s="3" t="s">
        <v>208</v>
      </c>
    </row>
    <row r="1093" spans="2:3" hidden="1">
      <c r="B1093" s="3" t="s">
        <v>209</v>
      </c>
      <c r="C1093" s="3" t="s">
        <v>210</v>
      </c>
    </row>
    <row r="1094" spans="2:3" hidden="1">
      <c r="B1094" s="3" t="s">
        <v>211</v>
      </c>
      <c r="C1094" s="3" t="s">
        <v>212</v>
      </c>
    </row>
    <row r="1095" spans="2:3" hidden="1">
      <c r="B1095" s="3" t="s">
        <v>213</v>
      </c>
      <c r="C1095" s="3" t="s">
        <v>214</v>
      </c>
    </row>
    <row r="1096" spans="2:3" hidden="1">
      <c r="B1096" s="3" t="s">
        <v>215</v>
      </c>
      <c r="C1096" s="3" t="s">
        <v>212</v>
      </c>
    </row>
    <row r="1097" spans="2:3" hidden="1">
      <c r="B1097" s="3" t="s">
        <v>216</v>
      </c>
      <c r="C1097" s="3" t="s">
        <v>204</v>
      </c>
    </row>
    <row r="1098" spans="2:3" hidden="1">
      <c r="B1098" s="3" t="s">
        <v>217</v>
      </c>
      <c r="C1098" s="3" t="s">
        <v>192</v>
      </c>
    </row>
    <row r="1099" spans="2:3" hidden="1">
      <c r="B1099" s="3" t="s">
        <v>218</v>
      </c>
      <c r="C1099" s="3" t="s">
        <v>212</v>
      </c>
    </row>
    <row r="1100" spans="2:3" hidden="1">
      <c r="B1100" s="3" t="s">
        <v>219</v>
      </c>
      <c r="C1100" s="3" t="s">
        <v>212</v>
      </c>
    </row>
    <row r="1101" spans="2:3" hidden="1">
      <c r="B1101" s="3" t="s">
        <v>220</v>
      </c>
      <c r="C1101" s="3" t="s">
        <v>200</v>
      </c>
    </row>
    <row r="1102" spans="2:3" hidden="1">
      <c r="B1102" s="3" t="s">
        <v>221</v>
      </c>
      <c r="C1102" s="3" t="s">
        <v>222</v>
      </c>
    </row>
    <row r="1103" spans="2:3" hidden="1">
      <c r="B1103" s="3" t="s">
        <v>223</v>
      </c>
      <c r="C1103" s="3" t="s">
        <v>196</v>
      </c>
    </row>
    <row r="1104" spans="2:3" hidden="1">
      <c r="B1104" s="3" t="s">
        <v>224</v>
      </c>
      <c r="C1104" s="3" t="s">
        <v>222</v>
      </c>
    </row>
    <row r="1105" spans="2:3" hidden="1">
      <c r="B1105" s="3" t="s">
        <v>225</v>
      </c>
      <c r="C1105" s="3" t="s">
        <v>226</v>
      </c>
    </row>
    <row r="1106" spans="2:3" hidden="1">
      <c r="B1106" s="3" t="s">
        <v>227</v>
      </c>
      <c r="C1106" s="3" t="s">
        <v>228</v>
      </c>
    </row>
    <row r="1107" spans="2:3" hidden="1">
      <c r="B1107" s="3" t="s">
        <v>229</v>
      </c>
      <c r="C1107" s="3" t="s">
        <v>230</v>
      </c>
    </row>
    <row r="1108" spans="2:3" hidden="1">
      <c r="B1108" s="3" t="s">
        <v>231</v>
      </c>
      <c r="C1108" s="3" t="s">
        <v>192</v>
      </c>
    </row>
    <row r="1109" spans="2:3" hidden="1">
      <c r="B1109" s="3" t="s">
        <v>232</v>
      </c>
      <c r="C1109" s="3" t="s">
        <v>200</v>
      </c>
    </row>
    <row r="1110" spans="2:3" hidden="1">
      <c r="B1110" s="3" t="s">
        <v>233</v>
      </c>
      <c r="C1110" s="3" t="s">
        <v>234</v>
      </c>
    </row>
    <row r="1111" spans="2:3" hidden="1">
      <c r="B1111" s="3" t="s">
        <v>235</v>
      </c>
      <c r="C1111" s="3" t="s">
        <v>236</v>
      </c>
    </row>
    <row r="1112" spans="2:3" hidden="1">
      <c r="B1112" s="3" t="s">
        <v>237</v>
      </c>
      <c r="C1112" s="3">
        <v>0</v>
      </c>
    </row>
    <row r="1113" spans="2:3" hidden="1">
      <c r="B1113" s="3" t="s">
        <v>238</v>
      </c>
      <c r="C1113" s="3">
        <v>0</v>
      </c>
    </row>
    <row r="1114" spans="2:3" hidden="1">
      <c r="B1114" s="3" t="s">
        <v>239</v>
      </c>
      <c r="C1114" s="3">
        <v>0</v>
      </c>
    </row>
    <row r="1115" spans="2:3" hidden="1">
      <c r="B1115" s="3" t="s">
        <v>240</v>
      </c>
      <c r="C1115" s="3">
        <v>0</v>
      </c>
    </row>
    <row r="1116" spans="2:3" hidden="1">
      <c r="B1116" s="3" t="s">
        <v>242</v>
      </c>
      <c r="C1116" s="3">
        <v>0</v>
      </c>
    </row>
    <row r="1117" spans="2:3" hidden="1">
      <c r="B1117" s="3" t="s">
        <v>243</v>
      </c>
      <c r="C1117" s="3">
        <v>0</v>
      </c>
    </row>
    <row r="1118" spans="2:3" hidden="1">
      <c r="B1118" s="3" t="s">
        <v>244</v>
      </c>
      <c r="C1118" s="3">
        <v>0</v>
      </c>
    </row>
    <row r="1119" spans="2:3" hidden="1">
      <c r="B1119" s="3" t="s">
        <v>245</v>
      </c>
      <c r="C1119" s="3">
        <v>0</v>
      </c>
    </row>
    <row r="1120" spans="2:3" hidden="1">
      <c r="B1120" s="3" t="s">
        <v>246</v>
      </c>
      <c r="C1120" s="3">
        <v>0</v>
      </c>
    </row>
    <row r="1121" spans="2:3" hidden="1">
      <c r="B1121" s="3" t="s">
        <v>247</v>
      </c>
      <c r="C1121" s="3">
        <v>0</v>
      </c>
    </row>
    <row r="1122" spans="2:3" hidden="1">
      <c r="B1122" s="3" t="s">
        <v>248</v>
      </c>
      <c r="C1122" s="3">
        <v>0</v>
      </c>
    </row>
    <row r="1123" spans="2:3" hidden="1">
      <c r="B1123" s="3" t="s">
        <v>249</v>
      </c>
      <c r="C1123" s="3" t="s">
        <v>250</v>
      </c>
    </row>
    <row r="1124" spans="2:3" hidden="1">
      <c r="B1124" s="3" t="s">
        <v>251</v>
      </c>
      <c r="C1124" s="3">
        <v>0</v>
      </c>
    </row>
    <row r="1125" spans="2:3" hidden="1">
      <c r="B1125" s="3" t="s">
        <v>252</v>
      </c>
      <c r="C1125" s="3">
        <v>0</v>
      </c>
    </row>
    <row r="1126" spans="2:3" hidden="1">
      <c r="B1126" s="3" t="s">
        <v>253</v>
      </c>
      <c r="C1126" s="3">
        <v>0</v>
      </c>
    </row>
    <row r="1127" spans="2:3" hidden="1">
      <c r="B1127" s="3" t="s">
        <v>254</v>
      </c>
      <c r="C1127" s="3">
        <v>0</v>
      </c>
    </row>
    <row r="1128" spans="2:3" hidden="1">
      <c r="B1128" s="3" t="s">
        <v>255</v>
      </c>
      <c r="C1128" s="3">
        <v>0</v>
      </c>
    </row>
    <row r="1129" spans="2:3" hidden="1">
      <c r="B1129" s="3" t="s">
        <v>256</v>
      </c>
      <c r="C1129" s="3">
        <v>0</v>
      </c>
    </row>
    <row r="1130" spans="2:3" hidden="1">
      <c r="B1130" s="3" t="s">
        <v>257</v>
      </c>
      <c r="C1130" s="3">
        <v>0</v>
      </c>
    </row>
    <row r="1131" spans="2:3" hidden="1">
      <c r="B1131" s="3" t="s">
        <v>258</v>
      </c>
      <c r="C1131" s="3" t="s">
        <v>259</v>
      </c>
    </row>
    <row r="1132" spans="2:3" hidden="1">
      <c r="B1132" s="3" t="s">
        <v>260</v>
      </c>
      <c r="C1132" s="3">
        <v>0</v>
      </c>
    </row>
    <row r="1133" spans="2:3" hidden="1">
      <c r="B1133" s="3" t="s">
        <v>261</v>
      </c>
      <c r="C1133" s="3">
        <v>0</v>
      </c>
    </row>
    <row r="1134" spans="2:3" hidden="1">
      <c r="B1134" s="3" t="s">
        <v>262</v>
      </c>
      <c r="C1134" s="3">
        <v>0</v>
      </c>
    </row>
    <row r="1135" spans="2:3" hidden="1">
      <c r="B1135" s="3" t="s">
        <v>263</v>
      </c>
      <c r="C1135" s="3">
        <v>0</v>
      </c>
    </row>
    <row r="1136" spans="2:3" hidden="1">
      <c r="B1136" s="3" t="s">
        <v>264</v>
      </c>
      <c r="C1136" s="3">
        <v>0</v>
      </c>
    </row>
    <row r="1137" spans="2:3" hidden="1">
      <c r="B1137" s="3" t="s">
        <v>265</v>
      </c>
      <c r="C1137" s="3">
        <v>0</v>
      </c>
    </row>
    <row r="1138" spans="2:3" hidden="1">
      <c r="B1138" s="3" t="s">
        <v>266</v>
      </c>
      <c r="C1138" s="3">
        <v>0</v>
      </c>
    </row>
    <row r="1139" spans="2:3" hidden="1">
      <c r="B1139" s="3" t="s">
        <v>267</v>
      </c>
      <c r="C1139" s="3">
        <v>0</v>
      </c>
    </row>
    <row r="1140" spans="2:3" hidden="1">
      <c r="B1140" s="3" t="s">
        <v>268</v>
      </c>
      <c r="C1140" s="3">
        <v>0</v>
      </c>
    </row>
    <row r="1141" spans="2:3" hidden="1">
      <c r="B1141" s="3" t="s">
        <v>269</v>
      </c>
      <c r="C1141" s="3">
        <v>0</v>
      </c>
    </row>
    <row r="1142" spans="2:3" hidden="1">
      <c r="B1142" s="3" t="s">
        <v>270</v>
      </c>
      <c r="C1142" s="3">
        <v>0</v>
      </c>
    </row>
    <row r="1143" spans="2:3" hidden="1">
      <c r="B1143" s="3" t="s">
        <v>271</v>
      </c>
      <c r="C1143" s="3">
        <v>0</v>
      </c>
    </row>
    <row r="1144" spans="2:3" hidden="1">
      <c r="B1144" s="3" t="s">
        <v>272</v>
      </c>
      <c r="C1144" s="3">
        <v>0</v>
      </c>
    </row>
    <row r="1145" spans="2:3" hidden="1">
      <c r="B1145" s="3" t="s">
        <v>273</v>
      </c>
      <c r="C1145" s="3">
        <v>0</v>
      </c>
    </row>
    <row r="1146" spans="2:3" hidden="1">
      <c r="B1146" s="3" t="s">
        <v>274</v>
      </c>
      <c r="C1146" s="3">
        <v>0</v>
      </c>
    </row>
    <row r="1147" spans="2:3" hidden="1">
      <c r="B1147" s="3" t="s">
        <v>275</v>
      </c>
      <c r="C1147" s="3">
        <v>0</v>
      </c>
    </row>
    <row r="1148" spans="2:3" hidden="1">
      <c r="B1148" s="3" t="s">
        <v>276</v>
      </c>
      <c r="C1148" s="3">
        <v>0</v>
      </c>
    </row>
    <row r="1149" spans="2:3" hidden="1">
      <c r="B1149" s="3" t="s">
        <v>277</v>
      </c>
      <c r="C1149" s="3" t="s">
        <v>241</v>
      </c>
    </row>
    <row r="1150" spans="2:3" hidden="1">
      <c r="B1150" s="3" t="s">
        <v>278</v>
      </c>
      <c r="C1150" s="3">
        <v>0</v>
      </c>
    </row>
    <row r="1151" spans="2:3" hidden="1">
      <c r="B1151" s="3" t="s">
        <v>279</v>
      </c>
      <c r="C1151" s="3">
        <v>0</v>
      </c>
    </row>
    <row r="1152" spans="2:3" hidden="1">
      <c r="B1152" s="3" t="s">
        <v>280</v>
      </c>
      <c r="C1152" s="3">
        <v>0</v>
      </c>
    </row>
    <row r="1153" spans="2:3" hidden="1">
      <c r="B1153" s="3" t="s">
        <v>281</v>
      </c>
      <c r="C1153" s="3">
        <v>0</v>
      </c>
    </row>
    <row r="1154" spans="2:3" hidden="1">
      <c r="B1154" s="3" t="s">
        <v>282</v>
      </c>
      <c r="C1154" s="3">
        <v>0</v>
      </c>
    </row>
    <row r="1155" spans="2:3" hidden="1">
      <c r="B1155" s="3" t="s">
        <v>283</v>
      </c>
      <c r="C1155" s="3">
        <v>0</v>
      </c>
    </row>
    <row r="1156" spans="2:3" hidden="1">
      <c r="B1156" s="3" t="s">
        <v>284</v>
      </c>
      <c r="C1156" s="3">
        <v>0</v>
      </c>
    </row>
    <row r="1157" spans="2:3" hidden="1">
      <c r="B1157" s="3" t="s">
        <v>285</v>
      </c>
      <c r="C1157" s="3">
        <v>0</v>
      </c>
    </row>
    <row r="1158" spans="2:3" hidden="1">
      <c r="B1158" s="3" t="s">
        <v>286</v>
      </c>
      <c r="C1158" s="3">
        <v>0</v>
      </c>
    </row>
    <row r="1159" spans="2:3" hidden="1">
      <c r="B1159" s="3" t="s">
        <v>287</v>
      </c>
      <c r="C1159" s="3">
        <v>0</v>
      </c>
    </row>
    <row r="1160" spans="2:3" hidden="1">
      <c r="B1160" s="3" t="s">
        <v>288</v>
      </c>
      <c r="C1160" s="3">
        <v>0</v>
      </c>
    </row>
    <row r="1161" spans="2:3" hidden="1">
      <c r="B1161" s="3" t="s">
        <v>289</v>
      </c>
      <c r="C1161" s="3">
        <v>1</v>
      </c>
    </row>
    <row r="1162" spans="2:3" hidden="1">
      <c r="B1162" s="3" t="s">
        <v>290</v>
      </c>
      <c r="C1162" s="3">
        <v>0</v>
      </c>
    </row>
    <row r="1163" spans="2:3" hidden="1">
      <c r="B1163" s="3" t="s">
        <v>291</v>
      </c>
      <c r="C1163" s="3">
        <v>0</v>
      </c>
    </row>
    <row r="1164" spans="2:3" hidden="1">
      <c r="B1164" s="3" t="s">
        <v>292</v>
      </c>
      <c r="C1164" s="3">
        <v>0</v>
      </c>
    </row>
    <row r="1165" spans="2:3" hidden="1">
      <c r="B1165" s="3" t="s">
        <v>293</v>
      </c>
      <c r="C1165" s="3">
        <v>0</v>
      </c>
    </row>
    <row r="1166" spans="2:3" hidden="1">
      <c r="B1166" s="3" t="s">
        <v>294</v>
      </c>
      <c r="C1166" s="3">
        <v>0</v>
      </c>
    </row>
    <row r="1167" spans="2:3" hidden="1">
      <c r="B1167" s="3" t="s">
        <v>295</v>
      </c>
      <c r="C1167" s="3">
        <v>0</v>
      </c>
    </row>
    <row r="1168" spans="2:3" hidden="1">
      <c r="B1168" s="3" t="s">
        <v>296</v>
      </c>
      <c r="C1168" s="3">
        <v>0</v>
      </c>
    </row>
    <row r="1169" spans="2:3" hidden="1">
      <c r="B1169" s="3" t="s">
        <v>297</v>
      </c>
      <c r="C1169" s="3">
        <v>1</v>
      </c>
    </row>
    <row r="1170" spans="2:3" hidden="1">
      <c r="B1170" s="3" t="s">
        <v>298</v>
      </c>
      <c r="C1170" s="3">
        <v>0</v>
      </c>
    </row>
    <row r="1171" spans="2:3" hidden="1">
      <c r="B1171" s="3" t="s">
        <v>299</v>
      </c>
      <c r="C1171" s="3">
        <v>0</v>
      </c>
    </row>
    <row r="1172" spans="2:3" hidden="1">
      <c r="B1172" s="3" t="s">
        <v>300</v>
      </c>
      <c r="C1172" s="3">
        <v>0</v>
      </c>
    </row>
    <row r="1173" spans="2:3" hidden="1">
      <c r="B1173" s="3" t="s">
        <v>301</v>
      </c>
      <c r="C1173" s="3">
        <v>0</v>
      </c>
    </row>
    <row r="1174" spans="2:3" hidden="1">
      <c r="B1174" s="3" t="s">
        <v>302</v>
      </c>
      <c r="C1174" s="3">
        <v>0</v>
      </c>
    </row>
    <row r="1175" spans="2:3" hidden="1">
      <c r="B1175" s="3" t="s">
        <v>303</v>
      </c>
      <c r="C1175" s="3">
        <v>0</v>
      </c>
    </row>
    <row r="1176" spans="2:3" hidden="1">
      <c r="B1176" s="3" t="s">
        <v>304</v>
      </c>
      <c r="C1176" s="3">
        <v>0</v>
      </c>
    </row>
    <row r="1177" spans="2:3" hidden="1">
      <c r="B1177" s="3" t="s">
        <v>305</v>
      </c>
      <c r="C1177" s="3">
        <v>0</v>
      </c>
    </row>
    <row r="1178" spans="2:3" hidden="1">
      <c r="B1178" s="3" t="s">
        <v>306</v>
      </c>
      <c r="C1178" s="3">
        <v>0</v>
      </c>
    </row>
    <row r="1179" spans="2:3" hidden="1">
      <c r="B1179" s="3" t="s">
        <v>307</v>
      </c>
      <c r="C1179" s="3">
        <v>0</v>
      </c>
    </row>
    <row r="1180" spans="2:3" hidden="1">
      <c r="B1180" s="3" t="s">
        <v>308</v>
      </c>
      <c r="C1180" s="3">
        <v>0</v>
      </c>
    </row>
    <row r="1181" spans="2:3" hidden="1">
      <c r="B1181" s="3" t="s">
        <v>309</v>
      </c>
      <c r="C1181" s="3">
        <v>0</v>
      </c>
    </row>
    <row r="1182" spans="2:3" hidden="1">
      <c r="B1182" s="3" t="s">
        <v>310</v>
      </c>
      <c r="C1182" s="3">
        <v>0</v>
      </c>
    </row>
    <row r="1183" spans="2:3" hidden="1">
      <c r="B1183" s="3" t="s">
        <v>311</v>
      </c>
      <c r="C1183" s="3">
        <v>0</v>
      </c>
    </row>
    <row r="1184" spans="2:3" hidden="1">
      <c r="B1184" s="3" t="s">
        <v>312</v>
      </c>
      <c r="C1184" s="3">
        <v>0</v>
      </c>
    </row>
    <row r="1185" spans="2:3" hidden="1">
      <c r="B1185" s="3" t="s">
        <v>313</v>
      </c>
      <c r="C1185" s="3">
        <v>0</v>
      </c>
    </row>
    <row r="1186" spans="2:3" hidden="1">
      <c r="B1186" s="3" t="s">
        <v>314</v>
      </c>
      <c r="C1186" s="3">
        <v>0</v>
      </c>
    </row>
    <row r="1187" spans="2:3" hidden="1">
      <c r="B1187" s="3" t="s">
        <v>315</v>
      </c>
      <c r="C1187" s="3">
        <v>0</v>
      </c>
    </row>
    <row r="1188" spans="2:3" hidden="1">
      <c r="B1188" s="3" t="s">
        <v>316</v>
      </c>
      <c r="C1188" s="3">
        <v>1</v>
      </c>
    </row>
    <row r="1189" spans="2:3" hidden="1">
      <c r="B1189" s="3" t="s">
        <v>317</v>
      </c>
      <c r="C1189" s="3">
        <v>0</v>
      </c>
    </row>
    <row r="1190" spans="2:3" hidden="1">
      <c r="B1190" s="3" t="s">
        <v>318</v>
      </c>
      <c r="C1190" s="3">
        <v>0</v>
      </c>
    </row>
    <row r="1191" spans="2:3" hidden="1">
      <c r="B1191" s="3" t="s">
        <v>319</v>
      </c>
      <c r="C1191" s="3">
        <v>0</v>
      </c>
    </row>
    <row r="1192" spans="2:3" hidden="1">
      <c r="B1192" s="3" t="s">
        <v>320</v>
      </c>
      <c r="C1192" s="3">
        <v>0</v>
      </c>
    </row>
    <row r="1193" spans="2:3" hidden="1">
      <c r="B1193" s="3" t="s">
        <v>321</v>
      </c>
      <c r="C1193" s="3">
        <v>0</v>
      </c>
    </row>
    <row r="1194" spans="2:3" hidden="1">
      <c r="B1194" s="3" t="s">
        <v>322</v>
      </c>
      <c r="C1194" s="3">
        <v>0</v>
      </c>
    </row>
    <row r="1195" spans="2:3" hidden="1">
      <c r="B1195" s="3" t="s">
        <v>323</v>
      </c>
      <c r="C1195" s="3">
        <v>0</v>
      </c>
    </row>
    <row r="1196" spans="2:3" hidden="1">
      <c r="B1196" s="3" t="s">
        <v>324</v>
      </c>
      <c r="C1196" s="3">
        <v>0</v>
      </c>
    </row>
    <row r="1197" spans="2:3" hidden="1">
      <c r="B1197" s="3" t="s">
        <v>325</v>
      </c>
      <c r="C1197" s="3">
        <v>0</v>
      </c>
    </row>
    <row r="1198" spans="2:3" hidden="1">
      <c r="B1198" s="3" t="s">
        <v>326</v>
      </c>
      <c r="C1198" s="3">
        <v>0</v>
      </c>
    </row>
    <row r="1199" spans="2:3" hidden="1">
      <c r="B1199" s="3" t="s">
        <v>327</v>
      </c>
      <c r="C1199" s="3">
        <v>0</v>
      </c>
    </row>
    <row r="1200" spans="2:3" hidden="1">
      <c r="B1200" s="3" t="s">
        <v>328</v>
      </c>
      <c r="C1200" s="3">
        <v>0</v>
      </c>
    </row>
    <row r="1201" spans="2:3" hidden="1">
      <c r="B1201" s="3" t="s">
        <v>329</v>
      </c>
      <c r="C1201" s="3">
        <v>0</v>
      </c>
    </row>
    <row r="1202" spans="2:3" hidden="1">
      <c r="B1202" s="3" t="s">
        <v>330</v>
      </c>
      <c r="C1202" s="3">
        <v>0</v>
      </c>
    </row>
    <row r="1203" spans="2:3" hidden="1">
      <c r="B1203" s="3" t="s">
        <v>331</v>
      </c>
      <c r="C1203" s="3">
        <v>0</v>
      </c>
    </row>
    <row r="1204" spans="2:3" hidden="1">
      <c r="B1204" s="3" t="s">
        <v>332</v>
      </c>
      <c r="C1204" s="3">
        <v>0</v>
      </c>
    </row>
    <row r="1205" spans="2:3" hidden="1">
      <c r="B1205" s="3" t="s">
        <v>333</v>
      </c>
      <c r="C1205" s="3">
        <v>0</v>
      </c>
    </row>
    <row r="1206" spans="2:3" hidden="1">
      <c r="B1206" s="3" t="s">
        <v>334</v>
      </c>
      <c r="C1206" s="3">
        <v>0</v>
      </c>
    </row>
    <row r="1207" spans="2:3" hidden="1">
      <c r="B1207" s="3" t="s">
        <v>335</v>
      </c>
      <c r="C1207" s="3">
        <v>0</v>
      </c>
    </row>
    <row r="1208" spans="2:3" hidden="1">
      <c r="B1208" s="3" t="s">
        <v>336</v>
      </c>
      <c r="C1208" s="3">
        <v>0</v>
      </c>
    </row>
    <row r="1209" spans="2:3" hidden="1">
      <c r="B1209" s="3" t="s">
        <v>337</v>
      </c>
      <c r="C1209" s="3">
        <v>0</v>
      </c>
    </row>
    <row r="1210" spans="2:3" hidden="1">
      <c r="B1210" s="3" t="s">
        <v>338</v>
      </c>
      <c r="C1210" s="3">
        <v>0</v>
      </c>
    </row>
    <row r="1211" spans="2:3" hidden="1">
      <c r="B1211" s="3" t="s">
        <v>339</v>
      </c>
      <c r="C1211" s="3">
        <v>0</v>
      </c>
    </row>
    <row r="1212" spans="2:3" hidden="1">
      <c r="B1212" s="3" t="s">
        <v>340</v>
      </c>
      <c r="C1212" s="3">
        <v>0</v>
      </c>
    </row>
    <row r="1213" spans="2:3" hidden="1">
      <c r="B1213" s="3" t="s">
        <v>341</v>
      </c>
      <c r="C1213" s="3">
        <v>0</v>
      </c>
    </row>
    <row r="1214" spans="2:3" hidden="1">
      <c r="B1214" s="3" t="s">
        <v>342</v>
      </c>
      <c r="C1214" s="3">
        <v>0</v>
      </c>
    </row>
    <row r="1215" spans="2:3" hidden="1">
      <c r="B1215" s="3" t="s">
        <v>343</v>
      </c>
      <c r="C1215" s="3">
        <v>0</v>
      </c>
    </row>
    <row r="1216" spans="2:3" hidden="1">
      <c r="B1216" s="3" t="s">
        <v>344</v>
      </c>
      <c r="C1216" s="3">
        <v>0</v>
      </c>
    </row>
    <row r="1217" spans="2:3" hidden="1">
      <c r="B1217" s="3" t="s">
        <v>345</v>
      </c>
      <c r="C1217" s="3">
        <v>0</v>
      </c>
    </row>
    <row r="1218" spans="2:3" hidden="1">
      <c r="B1218" s="3" t="s">
        <v>346</v>
      </c>
      <c r="C1218" s="3">
        <v>0</v>
      </c>
    </row>
    <row r="1219" spans="2:3" hidden="1">
      <c r="B1219" s="3" t="s">
        <v>347</v>
      </c>
      <c r="C1219" s="3">
        <v>0</v>
      </c>
    </row>
    <row r="1220" spans="2:3" hidden="1">
      <c r="B1220" s="3" t="s">
        <v>348</v>
      </c>
      <c r="C1220" s="3">
        <v>0</v>
      </c>
    </row>
    <row r="1221" spans="2:3" hidden="1">
      <c r="B1221" s="3" t="s">
        <v>349</v>
      </c>
      <c r="C1221" s="3">
        <v>0</v>
      </c>
    </row>
    <row r="1222" spans="2:3" hidden="1">
      <c r="B1222" s="3" t="s">
        <v>350</v>
      </c>
      <c r="C1222" s="3">
        <v>0</v>
      </c>
    </row>
    <row r="1223" spans="2:3" hidden="1">
      <c r="B1223" s="3" t="s">
        <v>351</v>
      </c>
      <c r="C1223" s="3">
        <v>0</v>
      </c>
    </row>
    <row r="1224" spans="2:3" hidden="1">
      <c r="B1224" s="3" t="s">
        <v>352</v>
      </c>
      <c r="C1224" s="3">
        <v>0</v>
      </c>
    </row>
    <row r="1225" spans="2:3" hidden="1">
      <c r="B1225" s="3" t="s">
        <v>353</v>
      </c>
      <c r="C1225" s="3">
        <v>0</v>
      </c>
    </row>
    <row r="1226" spans="2:3" hidden="1">
      <c r="B1226" s="3" t="s">
        <v>354</v>
      </c>
      <c r="C1226" s="3">
        <v>0</v>
      </c>
    </row>
    <row r="1227" spans="2:3" hidden="1">
      <c r="B1227" s="3" t="s">
        <v>355</v>
      </c>
      <c r="C1227" s="3">
        <v>0</v>
      </c>
    </row>
    <row r="1228" spans="2:3" hidden="1">
      <c r="B1228" s="3" t="s">
        <v>356</v>
      </c>
      <c r="C1228" s="3">
        <v>0</v>
      </c>
    </row>
    <row r="1229" spans="2:3" hidden="1">
      <c r="B1229" s="3" t="s">
        <v>357</v>
      </c>
      <c r="C1229" s="3">
        <v>0</v>
      </c>
    </row>
  </sheetData>
  <sheetProtection sheet="1" objects="1" scenarios="1"/>
  <protectedRanges>
    <protectedRange sqref="D3 D5:E6 C6 F7:F8 D12:E12 D14:D16 D18 F17 D20:E23 D24:D25 E25 F26:F27 D32 F33 D38 F40 B54:B57 E54:F57 B63:D73" name="Grey cells"/>
  </protectedRanges>
  <mergeCells count="10">
    <mergeCell ref="B60:B61"/>
    <mergeCell ref="C60:C61"/>
    <mergeCell ref="E60:E61"/>
    <mergeCell ref="F60:F61"/>
    <mergeCell ref="I60:I61"/>
    <mergeCell ref="B2:F2"/>
    <mergeCell ref="I4:P4"/>
    <mergeCell ref="H5:H12"/>
    <mergeCell ref="B52:F52"/>
    <mergeCell ref="B59:I59"/>
  </mergeCells>
  <conditionalFormatting sqref="B72:C72">
    <cfRule type="expression" dxfId="54" priority="8" stopIfTrue="1">
      <formula>MID($B72,1,4)="Rent"</formula>
    </cfRule>
  </conditionalFormatting>
  <conditionalFormatting sqref="C31:D31 C32 C34:E34">
    <cfRule type="expression" dxfId="53" priority="9">
      <formula>#REF!="yes"</formula>
    </cfRule>
  </conditionalFormatting>
  <conditionalFormatting sqref="D4">
    <cfRule type="expression" dxfId="52" priority="7">
      <formula>$F$1="no"</formula>
    </cfRule>
  </conditionalFormatting>
  <conditionalFormatting sqref="D11">
    <cfRule type="expression" dxfId="51" priority="6">
      <formula>#REF!="no"</formula>
    </cfRule>
  </conditionalFormatting>
  <conditionalFormatting sqref="D32:D33">
    <cfRule type="expression" dxfId="50" priority="4">
      <formula>#REF!="yes"</formula>
    </cfRule>
  </conditionalFormatting>
  <conditionalFormatting sqref="D12:E30">
    <cfRule type="expression" dxfId="49" priority="1">
      <formula>#REF!="yes"</formula>
    </cfRule>
  </conditionalFormatting>
  <dataValidations count="1">
    <dataValidation type="list" allowBlank="1" showInputMessage="1" showErrorMessage="1" sqref="F1" xr:uid="{0CCC40C7-E130-44C6-B0CF-92C4798D7ECB}">
      <formula1>"Yes, No"</formula1>
    </dataValidation>
  </dataValidations>
  <pageMargins left="0.7" right="0.7" top="0.75" bottom="0.75" header="0.3" footer="0.3"/>
  <pageSetup scale="67"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DE1E1A6E-3DF8-4D91-A9DC-BC3B8B68F5C3}">
          <x14:formula1>
            <xm:f>'Machinery Input Tables'!$AH$6:$AH$32</xm:f>
          </x14:formula1>
          <xm:sqref>C63:C73</xm:sqref>
        </x14:dataValidation>
        <x14:dataValidation type="list" allowBlank="1" showInputMessage="1" showErrorMessage="1" xr:uid="{9B5C8AEB-7BF8-4D5C-B523-52CB7208D02F}">
          <x14:formula1>
            <xm:f>'Machinery Input Tables'!$B$6:$B$121</xm:f>
          </x14:formula1>
          <xm:sqref>B63:B73</xm:sqref>
        </x14:dataValidation>
        <x14:dataValidation type="list" allowBlank="1" showInputMessage="1" showErrorMessage="1" xr:uid="{8A3F20E6-0E62-415E-A43E-16444DAF6B6E}">
          <x14:formula1>
            <xm:f>'Machinery Input Tables'!$C$133:$C$184</xm:f>
          </x14:formula1>
          <xm:sqref>B54:B57</xm:sqref>
        </x14:dataValidation>
        <x14:dataValidation type="list" allowBlank="1" showInputMessage="1" showErrorMessage="1" xr:uid="{2F7A53CC-8549-4AAB-9801-04BE21D89BE5}">
          <x14:formula1>
            <xm:f>'Irrigation costs'!$D$2:$G$2</xm:f>
          </x14:formula1>
          <xm:sqref>D3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56955-A77F-4EA7-A3D6-71435595C84D}">
  <sheetPr>
    <pageSetUpPr fitToPage="1"/>
  </sheetPr>
  <dimension ref="A1:R1229"/>
  <sheetViews>
    <sheetView showGridLines="0" topLeftCell="A12" zoomScaleNormal="100" workbookViewId="0">
      <selection activeCell="D3" sqref="D3"/>
    </sheetView>
  </sheetViews>
  <sheetFormatPr defaultColWidth="0" defaultRowHeight="16.5" zeroHeight="1"/>
  <cols>
    <col min="1" max="1" width="3.125" style="3" customWidth="1"/>
    <col min="2" max="2" width="34.875" style="3" customWidth="1"/>
    <col min="3" max="3" width="20.25" style="3" customWidth="1"/>
    <col min="4" max="5" width="14" style="3" customWidth="1"/>
    <col min="6" max="6" width="12.625" style="3" customWidth="1"/>
    <col min="7" max="7" width="11.75" style="3" customWidth="1"/>
    <col min="8" max="9" width="9" style="3" customWidth="1"/>
    <col min="10" max="10" width="11.625" style="3" customWidth="1"/>
    <col min="11" max="11" width="10.625" style="3" customWidth="1"/>
    <col min="12" max="14" width="9" style="3" customWidth="1"/>
    <col min="15" max="15" width="9.5" style="3" bestFit="1" customWidth="1"/>
    <col min="16" max="16" width="9" style="3" customWidth="1"/>
    <col min="17" max="17" width="3.125" style="3" customWidth="1"/>
    <col min="18" max="18" width="8.625" style="3" hidden="1" customWidth="1"/>
    <col min="19" max="16384" width="9" style="3" hidden="1"/>
  </cols>
  <sheetData>
    <row r="1" spans="2:16">
      <c r="F1" s="32"/>
    </row>
    <row r="2" spans="2:16" ht="20.25" customHeight="1">
      <c r="B2" s="299" t="s">
        <v>881</v>
      </c>
      <c r="C2" s="299"/>
      <c r="D2" s="299"/>
      <c r="E2" s="299"/>
      <c r="F2" s="299"/>
      <c r="G2" s="4"/>
    </row>
    <row r="3" spans="2:16" ht="17.25">
      <c r="B3" s="33" t="s">
        <v>687</v>
      </c>
      <c r="C3" s="34"/>
      <c r="D3" s="143" t="s">
        <v>688</v>
      </c>
      <c r="E3" s="34"/>
      <c r="F3" s="36"/>
      <c r="G3" s="37"/>
      <c r="H3" s="38"/>
      <c r="I3" s="39" t="s">
        <v>800</v>
      </c>
      <c r="J3" s="38"/>
      <c r="K3" s="38"/>
      <c r="L3" s="38"/>
      <c r="M3" s="38"/>
      <c r="N3" s="38"/>
      <c r="O3" s="38"/>
      <c r="P3" s="38"/>
    </row>
    <row r="4" spans="2:16" ht="17.25">
      <c r="B4" s="40" t="s">
        <v>370</v>
      </c>
      <c r="C4" s="40" t="s">
        <v>556</v>
      </c>
      <c r="D4" s="41" t="s">
        <v>25</v>
      </c>
      <c r="E4" s="41" t="s">
        <v>854</v>
      </c>
      <c r="F4" s="41" t="s">
        <v>855</v>
      </c>
      <c r="G4" s="37"/>
      <c r="H4" s="42"/>
      <c r="I4" s="300" t="s">
        <v>6</v>
      </c>
      <c r="J4" s="300"/>
      <c r="K4" s="300"/>
      <c r="L4" s="300"/>
      <c r="M4" s="300"/>
      <c r="N4" s="300"/>
      <c r="O4" s="300"/>
      <c r="P4" s="300"/>
    </row>
    <row r="5" spans="2:16" ht="16.5" customHeight="1">
      <c r="B5" s="43" t="s">
        <v>20</v>
      </c>
      <c r="C5" s="187" t="s">
        <v>21</v>
      </c>
      <c r="D5" s="44">
        <v>53</v>
      </c>
      <c r="E5" s="77">
        <v>10.7</v>
      </c>
      <c r="F5" s="46">
        <f>D5*E5</f>
        <v>567.09999999999991</v>
      </c>
      <c r="G5" s="47" t="s">
        <v>40</v>
      </c>
      <c r="H5" s="301" t="s">
        <v>799</v>
      </c>
      <c r="I5" s="48"/>
      <c r="J5" s="49">
        <f>0.7*$D$5</f>
        <v>37.099999999999994</v>
      </c>
      <c r="K5" s="49">
        <f>0.8*$D$5</f>
        <v>42.400000000000006</v>
      </c>
      <c r="L5" s="49">
        <f>0.9*$D$5</f>
        <v>47.7</v>
      </c>
      <c r="M5" s="50">
        <f>1*$D$5</f>
        <v>53</v>
      </c>
      <c r="N5" s="49">
        <f>1.1*$D$5</f>
        <v>58.300000000000004</v>
      </c>
      <c r="O5" s="49">
        <f>1.2*$D$5</f>
        <v>63.599999999999994</v>
      </c>
      <c r="P5" s="51">
        <f>1.3*$D$5</f>
        <v>68.900000000000006</v>
      </c>
    </row>
    <row r="6" spans="2:16" ht="17.25">
      <c r="B6" s="43" t="s">
        <v>22</v>
      </c>
      <c r="C6" s="52"/>
      <c r="D6" s="53"/>
      <c r="E6" s="58"/>
      <c r="F6" s="46">
        <f>D6*E6</f>
        <v>0</v>
      </c>
      <c r="G6" s="54"/>
      <c r="H6" s="301"/>
      <c r="I6" s="55">
        <f>0.7*$E$5</f>
        <v>7.4899999999999993</v>
      </c>
      <c r="J6" s="56">
        <f t="shared" ref="J6:P12" si="0">(J$5*$I6+SUM($F$6:$F$8)-((J$5*$I6+SUM($F$6:$F$8))/$F$9*$F$38)-($F$25*J$5/$D$5)-SUM($F$12:$F$13,$F$19,$F$24,$F$26:$F$31,$F$33:$F$34,$F$39))</f>
        <v>-190.80329746824856</v>
      </c>
      <c r="K6" s="56">
        <f t="shared" si="0"/>
        <v>-151.90023746824846</v>
      </c>
      <c r="L6" s="56">
        <f t="shared" si="0"/>
        <v>-112.99717746824854</v>
      </c>
      <c r="M6" s="56">
        <f t="shared" si="0"/>
        <v>-74.094117468248498</v>
      </c>
      <c r="N6" s="56">
        <f t="shared" si="0"/>
        <v>-35.191057468248516</v>
      </c>
      <c r="O6" s="56">
        <f t="shared" si="0"/>
        <v>3.7120025317514092</v>
      </c>
      <c r="P6" s="56">
        <f t="shared" si="0"/>
        <v>42.615062531751562</v>
      </c>
    </row>
    <row r="7" spans="2:16" ht="17.25">
      <c r="B7" s="57" t="s">
        <v>23</v>
      </c>
      <c r="C7" s="34"/>
      <c r="D7" s="57"/>
      <c r="E7" s="34"/>
      <c r="F7" s="58">
        <v>0</v>
      </c>
      <c r="G7" s="54"/>
      <c r="H7" s="301"/>
      <c r="I7" s="55">
        <f>0.8*$E$5</f>
        <v>8.56</v>
      </c>
      <c r="J7" s="56">
        <f t="shared" si="0"/>
        <v>-151.90023746824852</v>
      </c>
      <c r="K7" s="56">
        <f t="shared" si="0"/>
        <v>-107.43959746824839</v>
      </c>
      <c r="L7" s="56">
        <f t="shared" si="0"/>
        <v>-62.978957468248439</v>
      </c>
      <c r="M7" s="56">
        <f t="shared" si="0"/>
        <v>-18.518317468248483</v>
      </c>
      <c r="N7" s="56">
        <f t="shared" si="0"/>
        <v>25.942322531751586</v>
      </c>
      <c r="O7" s="56">
        <f t="shared" si="0"/>
        <v>70.402962531751427</v>
      </c>
      <c r="P7" s="56">
        <f t="shared" si="0"/>
        <v>114.86360253175167</v>
      </c>
    </row>
    <row r="8" spans="2:16" ht="17.25">
      <c r="B8" s="57" t="s">
        <v>24</v>
      </c>
      <c r="C8" s="34"/>
      <c r="D8" s="57"/>
      <c r="E8" s="34"/>
      <c r="F8" s="59">
        <v>0</v>
      </c>
      <c r="G8" s="54"/>
      <c r="H8" s="301"/>
      <c r="I8" s="55">
        <f>0.9*$E$5</f>
        <v>9.629999999999999</v>
      </c>
      <c r="J8" s="56">
        <f t="shared" si="0"/>
        <v>-112.99717746824859</v>
      </c>
      <c r="K8" s="56">
        <f t="shared" si="0"/>
        <v>-62.978957468248495</v>
      </c>
      <c r="L8" s="56">
        <f t="shared" si="0"/>
        <v>-12.96073746824851</v>
      </c>
      <c r="M8" s="56">
        <f t="shared" si="0"/>
        <v>37.057482531751418</v>
      </c>
      <c r="N8" s="56">
        <f t="shared" si="0"/>
        <v>87.075702531751517</v>
      </c>
      <c r="O8" s="56">
        <f t="shared" si="0"/>
        <v>137.09392253175133</v>
      </c>
      <c r="P8" s="56">
        <f t="shared" si="0"/>
        <v>187.11214253175149</v>
      </c>
    </row>
    <row r="9" spans="2:16" ht="17.25">
      <c r="B9" s="60" t="s">
        <v>373</v>
      </c>
      <c r="C9" s="34"/>
      <c r="D9" s="61"/>
      <c r="E9" s="61"/>
      <c r="F9" s="62">
        <f>SUM(F5:F8)</f>
        <v>567.09999999999991</v>
      </c>
      <c r="G9" s="63"/>
      <c r="H9" s="301"/>
      <c r="I9" s="64">
        <f>1*$E$5</f>
        <v>10.7</v>
      </c>
      <c r="J9" s="56">
        <f t="shared" si="0"/>
        <v>-74.094117468248555</v>
      </c>
      <c r="K9" s="56">
        <f t="shared" si="0"/>
        <v>-18.518317468248483</v>
      </c>
      <c r="L9" s="56">
        <f t="shared" si="0"/>
        <v>37.057482531751475</v>
      </c>
      <c r="M9" s="65">
        <f t="shared" si="0"/>
        <v>92.633282531751433</v>
      </c>
      <c r="N9" s="56">
        <f t="shared" si="0"/>
        <v>148.20908253175162</v>
      </c>
      <c r="O9" s="56">
        <f t="shared" si="0"/>
        <v>203.78488253175135</v>
      </c>
      <c r="P9" s="56">
        <f t="shared" si="0"/>
        <v>259.36068253175154</v>
      </c>
    </row>
    <row r="10" spans="2:16" ht="17.25">
      <c r="B10" s="60"/>
      <c r="C10" s="34"/>
      <c r="D10" s="61"/>
      <c r="E10" s="61"/>
      <c r="F10" s="66"/>
      <c r="G10" s="63"/>
      <c r="H10" s="301"/>
      <c r="I10" s="55">
        <f>1.1*$E$5</f>
        <v>11.77</v>
      </c>
      <c r="J10" s="56">
        <f t="shared" si="0"/>
        <v>-35.191057468248573</v>
      </c>
      <c r="K10" s="56">
        <f t="shared" si="0"/>
        <v>25.942322531751586</v>
      </c>
      <c r="L10" s="56">
        <f t="shared" si="0"/>
        <v>87.075702531751517</v>
      </c>
      <c r="M10" s="56">
        <f t="shared" si="0"/>
        <v>148.20908253175151</v>
      </c>
      <c r="N10" s="56">
        <f t="shared" si="0"/>
        <v>209.34246253175149</v>
      </c>
      <c r="O10" s="56">
        <f t="shared" si="0"/>
        <v>270.47584253175137</v>
      </c>
      <c r="P10" s="56">
        <f t="shared" si="0"/>
        <v>331.60922253175158</v>
      </c>
    </row>
    <row r="11" spans="2:16" ht="17.25">
      <c r="B11" s="67" t="s">
        <v>856</v>
      </c>
      <c r="C11" s="40" t="s">
        <v>556</v>
      </c>
      <c r="D11" s="41" t="s">
        <v>25</v>
      </c>
      <c r="E11" s="41" t="s">
        <v>854</v>
      </c>
      <c r="F11" s="41" t="s">
        <v>855</v>
      </c>
      <c r="G11" s="63"/>
      <c r="H11" s="301"/>
      <c r="I11" s="55">
        <f>1.2*$E$5</f>
        <v>12.839999999999998</v>
      </c>
      <c r="J11" s="56">
        <f t="shared" si="0"/>
        <v>3.7120025317513523</v>
      </c>
      <c r="K11" s="56">
        <f t="shared" si="0"/>
        <v>70.402962531751427</v>
      </c>
      <c r="L11" s="56">
        <f t="shared" si="0"/>
        <v>137.09392253175145</v>
      </c>
      <c r="M11" s="56">
        <f t="shared" si="0"/>
        <v>203.78488253175135</v>
      </c>
      <c r="N11" s="56">
        <f t="shared" si="0"/>
        <v>270.47584253175137</v>
      </c>
      <c r="O11" s="56">
        <f t="shared" si="0"/>
        <v>337.16680253175127</v>
      </c>
      <c r="P11" s="56">
        <f t="shared" si="0"/>
        <v>403.8577625317514</v>
      </c>
    </row>
    <row r="12" spans="2:16" ht="17.25">
      <c r="B12" s="57" t="s">
        <v>14</v>
      </c>
      <c r="C12" s="7" t="s">
        <v>857</v>
      </c>
      <c r="D12" s="68">
        <v>155000</v>
      </c>
      <c r="E12" s="69">
        <v>60</v>
      </c>
      <c r="F12" s="46">
        <f>E12*D12/H16</f>
        <v>66.428571428571431</v>
      </c>
      <c r="G12" s="63"/>
      <c r="H12" s="301"/>
      <c r="I12" s="70">
        <f>1.3*$E$5</f>
        <v>13.91</v>
      </c>
      <c r="J12" s="56">
        <f t="shared" si="0"/>
        <v>42.615062531751448</v>
      </c>
      <c r="K12" s="56">
        <f t="shared" si="0"/>
        <v>114.86360253175167</v>
      </c>
      <c r="L12" s="56">
        <f t="shared" si="0"/>
        <v>187.1121425317516</v>
      </c>
      <c r="M12" s="56">
        <f t="shared" si="0"/>
        <v>259.36068253175154</v>
      </c>
      <c r="N12" s="56">
        <f t="shared" si="0"/>
        <v>331.60922253175158</v>
      </c>
      <c r="O12" s="56">
        <f t="shared" si="0"/>
        <v>403.8577625317514</v>
      </c>
      <c r="P12" s="56">
        <f t="shared" si="0"/>
        <v>476.10630253175157</v>
      </c>
    </row>
    <row r="13" spans="2:16">
      <c r="B13" s="57" t="s">
        <v>26</v>
      </c>
      <c r="C13" s="7"/>
      <c r="D13" s="34"/>
      <c r="E13" s="71"/>
      <c r="F13" s="46">
        <f>SUMPRODUCT(D14:D18,E14:E18)+F17</f>
        <v>71.45</v>
      </c>
      <c r="G13" s="63"/>
      <c r="H13" s="72"/>
    </row>
    <row r="14" spans="2:16">
      <c r="B14" s="73" t="s">
        <v>27</v>
      </c>
      <c r="C14" s="7" t="s">
        <v>686</v>
      </c>
      <c r="D14" s="45">
        <v>0</v>
      </c>
      <c r="E14" s="71">
        <f>'Input prices'!D4</f>
        <v>0.7</v>
      </c>
      <c r="F14" s="46"/>
      <c r="G14" s="63"/>
      <c r="H14" s="72"/>
    </row>
    <row r="15" spans="2:16">
      <c r="B15" s="73" t="s">
        <v>28</v>
      </c>
      <c r="C15" s="7" t="s">
        <v>686</v>
      </c>
      <c r="D15" s="45">
        <v>45</v>
      </c>
      <c r="E15" s="71">
        <f>'Input prices'!D5</f>
        <v>0.73</v>
      </c>
      <c r="F15" s="46"/>
      <c r="G15" s="63"/>
      <c r="H15" s="74" t="s">
        <v>858</v>
      </c>
      <c r="I15"/>
      <c r="J15" s="75"/>
    </row>
    <row r="16" spans="2:16">
      <c r="B16" s="73" t="s">
        <v>8</v>
      </c>
      <c r="C16" s="7" t="s">
        <v>686</v>
      </c>
      <c r="D16" s="45">
        <v>80</v>
      </c>
      <c r="E16" s="71">
        <f>'Input prices'!D6</f>
        <v>0.42</v>
      </c>
      <c r="F16" s="46"/>
      <c r="G16" s="63"/>
      <c r="H16" s="74">
        <v>140000</v>
      </c>
      <c r="I16"/>
      <c r="K16" s="76"/>
    </row>
    <row r="17" spans="2:11">
      <c r="B17" s="73" t="s">
        <v>690</v>
      </c>
      <c r="C17" s="7"/>
      <c r="D17" s="34"/>
      <c r="E17" s="71"/>
      <c r="F17" s="77">
        <v>5</v>
      </c>
      <c r="G17" s="63"/>
      <c r="H17" s="72"/>
      <c r="I17" s="1"/>
      <c r="K17" s="76"/>
    </row>
    <row r="18" spans="2:11">
      <c r="B18" s="73" t="s">
        <v>9</v>
      </c>
      <c r="C18" s="7" t="s">
        <v>859</v>
      </c>
      <c r="D18" s="45">
        <v>0</v>
      </c>
      <c r="E18" s="71">
        <f>'Input prices'!D7</f>
        <v>35</v>
      </c>
      <c r="F18" s="78"/>
      <c r="G18" s="63"/>
      <c r="H18" s="72"/>
      <c r="I18" s="9"/>
      <c r="K18" s="79"/>
    </row>
    <row r="19" spans="2:11">
      <c r="B19" s="57" t="s">
        <v>29</v>
      </c>
      <c r="C19" s="7"/>
      <c r="D19" s="34"/>
      <c r="E19" s="71"/>
      <c r="F19" s="46">
        <f>SUMPRODUCT(D20:D23,E20:E23)</f>
        <v>100</v>
      </c>
      <c r="G19" s="37"/>
      <c r="H19" s="72"/>
      <c r="I19" s="9"/>
      <c r="K19" s="79"/>
    </row>
    <row r="20" spans="2:11">
      <c r="B20" s="73" t="s">
        <v>15</v>
      </c>
      <c r="C20" s="7" t="s">
        <v>860</v>
      </c>
      <c r="D20" s="45">
        <v>2</v>
      </c>
      <c r="E20" s="69">
        <v>34</v>
      </c>
      <c r="F20" s="46"/>
      <c r="G20" s="37"/>
      <c r="H20" s="72"/>
      <c r="I20" s="9"/>
      <c r="K20" s="79"/>
    </row>
    <row r="21" spans="2:11">
      <c r="B21" s="73" t="s">
        <v>691</v>
      </c>
      <c r="C21" s="7" t="s">
        <v>860</v>
      </c>
      <c r="D21" s="45">
        <v>2</v>
      </c>
      <c r="E21" s="69">
        <v>8</v>
      </c>
      <c r="F21" s="46"/>
      <c r="G21" s="37"/>
      <c r="H21" s="72"/>
      <c r="I21" s="9"/>
      <c r="K21" s="79"/>
    </row>
    <row r="22" spans="2:11">
      <c r="B22" s="73" t="s">
        <v>692</v>
      </c>
      <c r="C22" s="7" t="s">
        <v>860</v>
      </c>
      <c r="D22" s="45">
        <v>0</v>
      </c>
      <c r="E22" s="69">
        <v>11</v>
      </c>
      <c r="F22" s="46"/>
      <c r="G22" s="63"/>
      <c r="H22" s="72"/>
      <c r="I22" s="9"/>
      <c r="K22" s="79"/>
    </row>
    <row r="23" spans="2:11">
      <c r="B23" s="73" t="s">
        <v>879</v>
      </c>
      <c r="C23" s="7" t="s">
        <v>860</v>
      </c>
      <c r="D23" s="45">
        <v>1</v>
      </c>
      <c r="E23" s="69">
        <v>16</v>
      </c>
      <c r="F23" s="46"/>
      <c r="G23" s="63"/>
      <c r="H23" s="72"/>
      <c r="I23" s="9"/>
      <c r="K23" s="79"/>
    </row>
    <row r="24" spans="2:11">
      <c r="B24" s="57" t="s">
        <v>359</v>
      </c>
      <c r="C24" s="7" t="s">
        <v>861</v>
      </c>
      <c r="D24" s="45">
        <v>12</v>
      </c>
      <c r="E24" s="71">
        <f>IFERROR(HLOOKUP($D$3,'Irrigation costs'!$D$2:$F$17,15,FALSE),0)</f>
        <v>2.3899999999999997</v>
      </c>
      <c r="F24" s="46">
        <f>D24*E24</f>
        <v>28.679999999999996</v>
      </c>
      <c r="G24" s="63"/>
      <c r="H24" s="72"/>
      <c r="I24" s="9"/>
      <c r="K24" s="80"/>
    </row>
    <row r="25" spans="2:11">
      <c r="B25" s="57" t="s">
        <v>755</v>
      </c>
      <c r="C25" s="7" t="s">
        <v>862</v>
      </c>
      <c r="D25" s="81">
        <v>0</v>
      </c>
      <c r="E25" s="69">
        <v>0.05</v>
      </c>
      <c r="F25" s="46">
        <f>IFERROR(D25*100*E25*D5,0)</f>
        <v>0</v>
      </c>
      <c r="G25" s="63"/>
      <c r="H25" s="72"/>
      <c r="I25" s="9"/>
      <c r="K25" s="79"/>
    </row>
    <row r="26" spans="2:11">
      <c r="B26" s="57" t="s">
        <v>30</v>
      </c>
      <c r="C26" s="7"/>
      <c r="D26" s="34"/>
      <c r="E26" s="71"/>
      <c r="F26" s="58">
        <v>8.5</v>
      </c>
      <c r="G26" s="63"/>
      <c r="H26" s="72"/>
      <c r="I26" s="1"/>
      <c r="K26" s="76"/>
    </row>
    <row r="27" spans="2:11">
      <c r="B27" s="57" t="s">
        <v>31</v>
      </c>
      <c r="C27" s="7"/>
      <c r="D27" s="34"/>
      <c r="E27" s="71"/>
      <c r="F27" s="58">
        <v>21</v>
      </c>
      <c r="G27" s="63"/>
      <c r="H27" s="72"/>
      <c r="I27" s="9"/>
      <c r="K27" s="82"/>
    </row>
    <row r="28" spans="2:11">
      <c r="B28" s="57" t="s">
        <v>32</v>
      </c>
      <c r="C28" s="7" t="s">
        <v>654</v>
      </c>
      <c r="D28" s="34"/>
      <c r="E28" s="71"/>
      <c r="F28" s="83">
        <f>G58</f>
        <v>19.971</v>
      </c>
      <c r="G28" s="63"/>
      <c r="H28" s="72"/>
      <c r="I28" s="9"/>
      <c r="K28" s="82"/>
    </row>
    <row r="29" spans="2:11">
      <c r="B29" s="57" t="s">
        <v>808</v>
      </c>
      <c r="C29" s="7" t="s">
        <v>863</v>
      </c>
      <c r="D29" s="34">
        <f>F74</f>
        <v>0.51379166666666665</v>
      </c>
      <c r="E29" s="71">
        <f>'Input prices'!D8</f>
        <v>22.5</v>
      </c>
      <c r="F29" s="83">
        <f>E29*D29</f>
        <v>11.5603125</v>
      </c>
      <c r="G29" s="63"/>
      <c r="H29" s="72"/>
      <c r="I29" s="9"/>
      <c r="K29" s="82"/>
    </row>
    <row r="30" spans="2:11">
      <c r="B30" s="57" t="s">
        <v>702</v>
      </c>
      <c r="C30" s="7" t="s">
        <v>864</v>
      </c>
      <c r="D30" s="34">
        <f>E74</f>
        <v>4.0239791666666669</v>
      </c>
      <c r="E30" s="71">
        <f>'Input prices'!D9</f>
        <v>2.9</v>
      </c>
      <c r="F30" s="83">
        <f>D30*E30</f>
        <v>11.669539583333334</v>
      </c>
      <c r="G30" s="63"/>
      <c r="H30" s="72"/>
      <c r="I30" s="9"/>
      <c r="K30" s="76"/>
    </row>
    <row r="31" spans="2:11">
      <c r="B31" s="57" t="s">
        <v>33</v>
      </c>
      <c r="C31" s="84" t="s">
        <v>654</v>
      </c>
      <c r="D31" s="85"/>
      <c r="E31" s="34"/>
      <c r="F31" s="83">
        <f>G74-F30-F29</f>
        <v>25.319132007201667</v>
      </c>
      <c r="G31" s="63"/>
      <c r="H31" s="72"/>
      <c r="I31" s="9"/>
      <c r="K31" s="86"/>
    </row>
    <row r="32" spans="2:11">
      <c r="B32" s="57" t="s">
        <v>366</v>
      </c>
      <c r="C32" s="84" t="s">
        <v>865</v>
      </c>
      <c r="D32" s="197">
        <v>0.03</v>
      </c>
      <c r="E32" s="34"/>
      <c r="F32" s="83">
        <f>F9*D32</f>
        <v>17.012999999999998</v>
      </c>
      <c r="G32" s="63"/>
      <c r="H32" s="72"/>
      <c r="I32" s="9"/>
      <c r="K32" s="87"/>
    </row>
    <row r="33" spans="2:8">
      <c r="B33" s="57" t="s">
        <v>34</v>
      </c>
      <c r="C33" s="7" t="s">
        <v>654</v>
      </c>
      <c r="D33" s="85"/>
      <c r="E33" s="34"/>
      <c r="F33" s="58">
        <v>0</v>
      </c>
      <c r="G33" s="63"/>
      <c r="H33" s="72"/>
    </row>
    <row r="34" spans="2:8">
      <c r="B34" s="57" t="s">
        <v>11</v>
      </c>
      <c r="C34" s="84" t="s">
        <v>866</v>
      </c>
      <c r="D34" s="88">
        <f>SUM(F12:F13,F19,F25:F33)/2</f>
        <v>176.45577775955323</v>
      </c>
      <c r="E34" s="89">
        <f>'Input prices'!D10</f>
        <v>7.2499999999999995E-2</v>
      </c>
      <c r="F34" s="90">
        <f>E34*D34</f>
        <v>12.793043887567608</v>
      </c>
      <c r="G34" s="91"/>
      <c r="H34" s="72"/>
    </row>
    <row r="35" spans="2:8">
      <c r="B35" s="60" t="s">
        <v>372</v>
      </c>
      <c r="C35" s="92"/>
      <c r="D35" s="61"/>
      <c r="E35" s="34"/>
      <c r="F35" s="62">
        <f>SUM(F12:F13,F19,F24:F34)</f>
        <v>394.38459940667406</v>
      </c>
      <c r="G35" s="63"/>
      <c r="H35" s="72"/>
    </row>
    <row r="36" spans="2:8">
      <c r="B36" s="36"/>
      <c r="C36" s="92"/>
      <c r="D36" s="61"/>
      <c r="E36" s="34"/>
      <c r="F36" s="36"/>
      <c r="G36" s="63"/>
      <c r="H36" s="72"/>
    </row>
    <row r="37" spans="2:8" ht="17.25">
      <c r="B37" s="67" t="s">
        <v>867</v>
      </c>
      <c r="C37" s="40" t="s">
        <v>556</v>
      </c>
      <c r="D37" s="41" t="s">
        <v>25</v>
      </c>
      <c r="E37" s="41" t="s">
        <v>854</v>
      </c>
      <c r="F37" s="41" t="s">
        <v>855</v>
      </c>
      <c r="G37" s="63"/>
      <c r="H37" s="72"/>
    </row>
    <row r="38" spans="2:8">
      <c r="B38" s="57" t="s">
        <v>18</v>
      </c>
      <c r="C38" s="84" t="s">
        <v>865</v>
      </c>
      <c r="D38" s="197">
        <v>0.02</v>
      </c>
      <c r="E38" s="34"/>
      <c r="F38" s="46">
        <f>D38*F9</f>
        <v>11.341999999999999</v>
      </c>
      <c r="G38" s="63"/>
      <c r="H38" s="72"/>
    </row>
    <row r="39" spans="2:8">
      <c r="B39" s="57" t="s">
        <v>923</v>
      </c>
      <c r="C39" s="92" t="s">
        <v>654</v>
      </c>
      <c r="D39" s="61"/>
      <c r="E39" s="34"/>
      <c r="F39" s="46">
        <f>H74+HLOOKUP(D3,'Irrigation costs'!$D$2:$G$17,14, FALSE)</f>
        <v>85.753118061574398</v>
      </c>
      <c r="G39" s="63"/>
      <c r="H39" s="72"/>
    </row>
    <row r="40" spans="2:8">
      <c r="B40" s="57" t="s">
        <v>35</v>
      </c>
      <c r="C40" s="92" t="s">
        <v>654</v>
      </c>
      <c r="D40" s="61"/>
      <c r="E40" s="34"/>
      <c r="F40" s="93">
        <v>112.5</v>
      </c>
      <c r="G40" s="91"/>
      <c r="H40" s="72"/>
    </row>
    <row r="41" spans="2:8">
      <c r="B41" s="60" t="s">
        <v>868</v>
      </c>
      <c r="C41" s="92"/>
      <c r="D41" s="61"/>
      <c r="E41" s="34"/>
      <c r="F41" s="62">
        <f>SUM(F38:F40)</f>
        <v>209.5951180615744</v>
      </c>
      <c r="G41" s="63"/>
      <c r="H41" s="72"/>
    </row>
    <row r="42" spans="2:8">
      <c r="B42" s="36"/>
      <c r="C42" s="34"/>
      <c r="D42" s="61"/>
      <c r="E42" s="34"/>
      <c r="F42" s="46"/>
      <c r="G42" s="91"/>
      <c r="H42" s="72"/>
    </row>
    <row r="43" spans="2:8" ht="15" customHeight="1">
      <c r="B43" s="60" t="s">
        <v>375</v>
      </c>
      <c r="C43" s="34"/>
      <c r="D43" s="61"/>
      <c r="E43" s="61"/>
      <c r="F43" s="62">
        <f>F35+F41</f>
        <v>603.97971746824851</v>
      </c>
      <c r="G43" s="37"/>
      <c r="H43" s="72"/>
    </row>
    <row r="44" spans="2:8">
      <c r="B44" s="94"/>
      <c r="C44" s="95"/>
      <c r="D44" s="96"/>
      <c r="E44" s="95"/>
      <c r="F44" s="97"/>
      <c r="G44" s="63"/>
      <c r="H44" s="72"/>
    </row>
    <row r="45" spans="2:8">
      <c r="B45" s="98" t="s">
        <v>367</v>
      </c>
      <c r="C45" s="34"/>
      <c r="D45" s="61"/>
      <c r="E45" s="34"/>
      <c r="F45" s="62">
        <f>F9-F35</f>
        <v>172.71540059332585</v>
      </c>
      <c r="G45" s="63"/>
      <c r="H45" s="72"/>
    </row>
    <row r="46" spans="2:8">
      <c r="B46" s="98" t="s">
        <v>368</v>
      </c>
      <c r="C46" s="34"/>
      <c r="D46" s="61"/>
      <c r="E46" s="34"/>
      <c r="F46" s="62">
        <f>F9-F43</f>
        <v>-36.8797174682486</v>
      </c>
      <c r="G46" s="37"/>
      <c r="H46" s="72"/>
    </row>
    <row r="47" spans="2:8">
      <c r="B47" s="99" t="s">
        <v>369</v>
      </c>
      <c r="C47" s="100"/>
      <c r="D47" s="101"/>
      <c r="E47" s="100"/>
      <c r="F47" s="102">
        <f>F9-F43+F40+F32</f>
        <v>92.633282531751405</v>
      </c>
      <c r="G47" s="63"/>
      <c r="H47" s="72"/>
    </row>
    <row r="48" spans="2:8">
      <c r="B48" s="36"/>
      <c r="C48" s="34"/>
      <c r="D48" s="34" t="s">
        <v>36</v>
      </c>
      <c r="E48" s="34"/>
      <c r="F48" s="46">
        <f>F35/D5</f>
        <v>7.4412188567296988</v>
      </c>
      <c r="G48" s="63"/>
      <c r="H48" s="72"/>
    </row>
    <row r="49" spans="2:9">
      <c r="B49" s="36"/>
      <c r="C49" s="34"/>
      <c r="D49" s="34" t="s">
        <v>37</v>
      </c>
      <c r="E49" s="34"/>
      <c r="F49" s="46">
        <f>F41/D5</f>
        <v>3.9546248690863095</v>
      </c>
      <c r="G49" s="63"/>
      <c r="H49" s="72"/>
    </row>
    <row r="50" spans="2:9">
      <c r="B50" s="103"/>
      <c r="C50" s="100"/>
      <c r="D50" s="100" t="s">
        <v>38</v>
      </c>
      <c r="E50" s="100"/>
      <c r="F50" s="90">
        <f>F43/D5</f>
        <v>11.395843725816009</v>
      </c>
      <c r="G50" s="63"/>
      <c r="H50" s="72"/>
    </row>
    <row r="51" spans="2:9">
      <c r="B51" s="37"/>
      <c r="C51" s="63"/>
      <c r="D51" s="104"/>
      <c r="E51" s="63"/>
      <c r="F51" s="37"/>
      <c r="G51" s="63"/>
      <c r="H51" s="72"/>
    </row>
    <row r="52" spans="2:9">
      <c r="B52" s="302" t="s">
        <v>869</v>
      </c>
      <c r="C52" s="302"/>
      <c r="D52" s="302"/>
      <c r="E52" s="302"/>
      <c r="F52" s="302"/>
      <c r="G52" s="106"/>
      <c r="H52" s="72"/>
    </row>
    <row r="53" spans="2:9">
      <c r="B53" s="107" t="s">
        <v>560</v>
      </c>
      <c r="C53" s="108" t="s">
        <v>561</v>
      </c>
      <c r="D53" s="108" t="s">
        <v>556</v>
      </c>
      <c r="E53" s="108" t="s">
        <v>754</v>
      </c>
      <c r="F53" s="108" t="s">
        <v>10</v>
      </c>
      <c r="G53" s="109" t="s">
        <v>698</v>
      </c>
      <c r="H53" s="72"/>
    </row>
    <row r="54" spans="2:9">
      <c r="B54" s="110" t="s">
        <v>563</v>
      </c>
      <c r="C54" s="111">
        <f>IF(ISBLANK($B54),"",VLOOKUP($B54,'Machinery Input Tables'!$C$133:$F$184,2,FALSE))</f>
        <v>7.3709999999999996</v>
      </c>
      <c r="D54" s="111" t="str">
        <f>IF(ISBLANK($B54),"",VLOOKUP($B54,'Machinery Input Tables'!$C$133:$F$184,3,FALSE))</f>
        <v>per acre</v>
      </c>
      <c r="E54" s="112"/>
      <c r="F54" s="110">
        <v>1</v>
      </c>
      <c r="G54" s="113">
        <f>IFERROR(C54*F54*IF(D54="per acre",1,E54),"-")</f>
        <v>7.3709999999999996</v>
      </c>
      <c r="H54" s="72"/>
    </row>
    <row r="55" spans="2:9">
      <c r="B55" s="110" t="s">
        <v>700</v>
      </c>
      <c r="C55" s="111">
        <f>IF(ISBLANK($B55),"",VLOOKUP($B55,'Machinery Input Tables'!$C$133:$F$184,2,FALSE))</f>
        <v>12.600000000000001</v>
      </c>
      <c r="D55" s="111" t="str">
        <f>IF(ISBLANK($B55),"",VLOOKUP($B55,'Machinery Input Tables'!$C$133:$F$184,3,FALSE))</f>
        <v>per acre</v>
      </c>
      <c r="E55" s="112"/>
      <c r="F55" s="110">
        <v>1</v>
      </c>
      <c r="G55" s="113">
        <f t="shared" ref="G55:G57" si="1">IFERROR(C55*F55*IF(D55="per acre",1,E55),"-")</f>
        <v>12.600000000000001</v>
      </c>
      <c r="H55" s="72"/>
    </row>
    <row r="56" spans="2:9">
      <c r="B56" s="114"/>
      <c r="C56" s="111" t="str">
        <f>IF(ISBLANK($B56),"",VLOOKUP($B56,'Machinery Input Tables'!$C$133:$F$184,2,FALSE))</f>
        <v/>
      </c>
      <c r="D56" s="111" t="str">
        <f>IF(ISBLANK($B56),"",VLOOKUP($B56,'Machinery Input Tables'!$C$133:$F$184,3,FALSE))</f>
        <v/>
      </c>
      <c r="E56" s="114"/>
      <c r="F56" s="114"/>
      <c r="G56" s="113" t="str">
        <f t="shared" si="1"/>
        <v>-</v>
      </c>
      <c r="H56" s="72"/>
    </row>
    <row r="57" spans="2:9">
      <c r="B57" s="115"/>
      <c r="C57" s="116" t="str">
        <f>IF(ISBLANK($B57),"",VLOOKUP($B57,'Machinery Input Tables'!$C$133:$F$184,2,FALSE))</f>
        <v/>
      </c>
      <c r="D57" s="117" t="str">
        <f>IF(ISBLANK($B57),"",VLOOKUP($B57,'Machinery Input Tables'!$C$133:$F$184,3,FALSE))</f>
        <v/>
      </c>
      <c r="E57" s="115"/>
      <c r="F57" s="115"/>
      <c r="G57" s="118" t="str">
        <f t="shared" si="1"/>
        <v>-</v>
      </c>
      <c r="H57" s="72"/>
    </row>
    <row r="58" spans="2:9">
      <c r="B58" s="119" t="s">
        <v>699</v>
      </c>
      <c r="C58" s="120"/>
      <c r="D58" s="119"/>
      <c r="E58" s="120"/>
      <c r="F58" s="120"/>
      <c r="G58" s="121">
        <f>SUM(G54:G57)</f>
        <v>19.971</v>
      </c>
      <c r="H58" s="72"/>
    </row>
    <row r="59" spans="2:9" s="6" customFormat="1" ht="17.25">
      <c r="B59" s="302" t="s">
        <v>870</v>
      </c>
      <c r="C59" s="302"/>
      <c r="D59" s="302"/>
      <c r="E59" s="302"/>
      <c r="F59" s="302"/>
      <c r="G59" s="302"/>
      <c r="H59" s="302"/>
      <c r="I59" s="302"/>
    </row>
    <row r="60" spans="2:9">
      <c r="B60" s="303" t="s">
        <v>497</v>
      </c>
      <c r="C60" s="305" t="s">
        <v>498</v>
      </c>
      <c r="D60" s="123" t="s">
        <v>871</v>
      </c>
      <c r="E60" s="305" t="s">
        <v>499</v>
      </c>
      <c r="F60" s="305" t="s">
        <v>500</v>
      </c>
      <c r="G60" s="122" t="s">
        <v>501</v>
      </c>
      <c r="H60" s="122" t="s">
        <v>502</v>
      </c>
      <c r="I60" s="307" t="s">
        <v>503</v>
      </c>
    </row>
    <row r="61" spans="2:9">
      <c r="B61" s="304"/>
      <c r="C61" s="306"/>
      <c r="D61" s="125" t="s">
        <v>872</v>
      </c>
      <c r="E61" s="306"/>
      <c r="F61" s="306"/>
      <c r="G61" s="124" t="s">
        <v>516</v>
      </c>
      <c r="H61" s="124" t="s">
        <v>516</v>
      </c>
      <c r="I61" s="308"/>
    </row>
    <row r="62" spans="2:9">
      <c r="B62" s="126"/>
      <c r="C62" s="127" t="s">
        <v>873</v>
      </c>
      <c r="D62" s="128" t="s">
        <v>522</v>
      </c>
      <c r="E62" s="128" t="s">
        <v>519</v>
      </c>
      <c r="F62" s="128" t="s">
        <v>520</v>
      </c>
      <c r="G62" s="128" t="s">
        <v>521</v>
      </c>
      <c r="H62" s="128" t="s">
        <v>521</v>
      </c>
      <c r="I62" s="128" t="s">
        <v>523</v>
      </c>
    </row>
    <row r="63" spans="2:9">
      <c r="B63" s="129" t="s">
        <v>850</v>
      </c>
      <c r="C63" s="129" t="s">
        <v>693</v>
      </c>
      <c r="D63" s="130">
        <v>1</v>
      </c>
      <c r="E63" s="131">
        <f>IFERROR(IF(ISBLANK(C63),"",IF(OR(ISBLANK(B63),IFERROR(VLOOKUP(B63,'Machinery Input Tables'!$B$6:$AF$121,13,FALSE),"")='Machinery Input Tables'!$N$128),1,VLOOKUP(B63,'Machinery Input Tables'!$B$6:$AF$121,28,FALSE))*VLOOKUP(C63,'Machinery Input Tables'!$AH$6:$BA$32,19,FALSE))*D63,"-")</f>
        <v>0.82133333333333325</v>
      </c>
      <c r="F63" s="131">
        <f>IFERROR(IF(AND(ISBLANK(B63)*ISBLANK(C63)),"",IF(ISBLANK(B63),1,IF(VLOOKUP(B63,'Machinery Input Tables'!$B$6:$AF$121,13,FALSE)='Machinery Input Tables'!$N$128,VLOOKUP(B63,'Machinery Input Tables'!$B$6:$AF$121,17,FALSE),VLOOKUP(B63,'Machinery Input Tables'!$B$6:$AF$121,28,FALSE))))*D63,"-")</f>
        <v>6.6666666666666666E-2</v>
      </c>
      <c r="G63" s="132">
        <f>IFERROR(IF(ISBLANK(C63),"",E63*'Machinery Input Tables'!$BP$10*'Machinery Input Tables'!$BP$11+E63*'Machinery Input Tables'!$BP$10+F63*'Machinery Input Tables'!$BP$6+(VLOOKUP(C63,'Machinery Input Tables'!$AH$6:$BA$32,18,FALSE)*IF(IFERROR(VLOOKUP(B63,'Machinery Input Tables'!$B$6:$AF$121,13,FALSE)='Machinery Input Tables'!$N$128,1),1,VLOOKUP(B63,'Machinery Input Tables'!$B$6:$AF$121,28,FALSE))+IFERROR(VLOOKUP(B63,'Machinery Input Tables'!$B$6:$AF$121,27,FALSE),0))*D63),"-")</f>
        <v>11.173758752751597</v>
      </c>
      <c r="H63" s="132">
        <f>IFERROR((IFERROR(VLOOKUP(B63,'Machinery Input Tables'!$B$6:$AF$121,24,FALSE),0)+VLOOKUP(C63,'Machinery Input Tables'!$AH$6:$BA$32,20,FALSE))*IF(IFERROR(VLOOKUP(B63,'Machinery Input Tables'!$B$6:$AF$121,13,FALSE)='Machinery Input Tables'!$N$128,1),1,VLOOKUP(B63,'Machinery Input Tables'!$B$6:$AF$121,28,FALSE))*D63,"-")</f>
        <v>16.019837318672113</v>
      </c>
      <c r="I63" s="132">
        <f>IFERROR(IF(ISBLANK(AND(B63,C63)),"",SUM(G63:H63)),"-")</f>
        <v>27.193596071423713</v>
      </c>
    </row>
    <row r="64" spans="2:9">
      <c r="B64" s="129" t="s">
        <v>694</v>
      </c>
      <c r="C64" s="129" t="s">
        <v>678</v>
      </c>
      <c r="D64" s="130">
        <v>2</v>
      </c>
      <c r="E64" s="131">
        <f>IFERROR(IF(ISBLANK(C64),"",IF(OR(ISBLANK(B64),IFERROR(VLOOKUP(B64,'Machinery Input Tables'!$B$6:$AF$121,13,FALSE),"")='Machinery Input Tables'!$N$128),1,VLOOKUP(B64,'Machinery Input Tables'!$B$6:$AF$121,28,FALSE))*VLOOKUP(C64,'Machinery Input Tables'!$AH$6:$BA$32,19,FALSE))*D64,"-")</f>
        <v>0.25208333333333333</v>
      </c>
      <c r="F64" s="131">
        <f>IFERROR(IF(AND(ISBLANK(B64)*ISBLANK(C64)),"",IF(ISBLANK(B64),1,IF(VLOOKUP(B64,'Machinery Input Tables'!$B$6:$AF$121,13,FALSE)='Machinery Input Tables'!$N$128,VLOOKUP(B64,'Machinery Input Tables'!$B$6:$AF$121,17,FALSE),VLOOKUP(B64,'Machinery Input Tables'!$B$6:$AF$121,28,FALSE))))*D64,"-")</f>
        <v>1.8333333333333333E-2</v>
      </c>
      <c r="G64" s="132">
        <f>IFERROR(IF(ISBLANK(C64),"",E64*'Machinery Input Tables'!$BP$10+F64*'Machinery Input Tables'!$BP$6+(VLOOKUP(C64,'Machinery Input Tables'!$AH$6:$BA$32,18,FALSE)*IF(IFERROR(VLOOKUP(B64,'Machinery Input Tables'!$B$6:$AF$121,13,FALSE)='Machinery Input Tables'!$N$128,1),1,VLOOKUP(B64,'Machinery Input Tables'!$B$6:$AF$121,28,FALSE))+IFERROR(VLOOKUP(B64,'Machinery Input Tables'!$B$6:$AF$121,27,FALSE),0))*D64),"-")</f>
        <v>5.6238073564489781</v>
      </c>
      <c r="H64" s="132">
        <f>IFERROR((IFERROR(VLOOKUP(B64,'Machinery Input Tables'!$B$6:$AF$121,24,FALSE),0)+VLOOKUP(C64,'Machinery Input Tables'!$AH$6:$BA$32,20,FALSE))*IF(IFERROR(VLOOKUP(B64,'Machinery Input Tables'!$B$6:$AF$121,13,FALSE)='Machinery Input Tables'!$N$128,1),1,VLOOKUP(B64,'Machinery Input Tables'!$B$6:$AF$121,28,FALSE))*D64,"-")</f>
        <v>3.2000737164930664</v>
      </c>
      <c r="I64" s="132">
        <f t="shared" ref="I64:I73" si="2">IFERROR(IF(ISBLANK(AND(B64,C64)),"",SUM(G64:H64)),"-")</f>
        <v>8.8238810729420436</v>
      </c>
    </row>
    <row r="65" spans="2:9">
      <c r="B65" s="129" t="s">
        <v>751</v>
      </c>
      <c r="C65" s="129" t="s">
        <v>848</v>
      </c>
      <c r="D65" s="130">
        <v>1</v>
      </c>
      <c r="E65" s="131">
        <f>IFERROR(IF(ISBLANK(C65),"",IF(OR(ISBLANK(B65),IFERROR(VLOOKUP(B65,'Machinery Input Tables'!$B$6:$AF$121,13,FALSE),"")='Machinery Input Tables'!$N$128),1,VLOOKUP(B65,'Machinery Input Tables'!$B$6:$AF$121,28,FALSE))*VLOOKUP(C65,'Machinery Input Tables'!$AH$6:$BA$32,19,FALSE))*D65,"-")</f>
        <v>1.2890625</v>
      </c>
      <c r="F65" s="131">
        <f>IFERROR(IF(AND(ISBLANK(B65)*ISBLANK(C65)),"",IF(ISBLANK(B65),1,IF(VLOOKUP(B65,'Machinery Input Tables'!$B$6:$AF$121,13,FALSE)='Machinery Input Tables'!$N$128,VLOOKUP(B65,'Machinery Input Tables'!$B$6:$AF$121,17,FALSE),VLOOKUP(B65,'Machinery Input Tables'!$B$6:$AF$121,28,FALSE))))*D65,"-")</f>
        <v>5.7291666666666664E-2</v>
      </c>
      <c r="G65" s="132">
        <f>IFERROR(IF(ISBLANK(C65),"",E65*'Machinery Input Tables'!$BP$10+F65*'Machinery Input Tables'!$BP$6+(VLOOKUP(C65,'Machinery Input Tables'!$AH$6:$BA$32,18,FALSE)*IF(IFERROR(VLOOKUP(B65,'Machinery Input Tables'!$B$6:$AF$121,13,FALSE)='Machinery Input Tables'!$N$128,1),1,VLOOKUP(B65,'Machinery Input Tables'!$B$6:$AF$121,28,FALSE))+IFERROR(VLOOKUP(B65,'Machinery Input Tables'!$B$6:$AF$121,27,FALSE),0))*D65),"-")</f>
        <v>10.959267140052072</v>
      </c>
      <c r="H65" s="132">
        <f>IFERROR((IFERROR(VLOOKUP(B65,'Machinery Input Tables'!$B$6:$AF$121,24,FALSE),0)+VLOOKUP(C65,'Machinery Input Tables'!$AH$6:$BA$32,20,FALSE))*IF(IFERROR(VLOOKUP(B65,'Machinery Input Tables'!$B$6:$AF$121,13,FALSE)='Machinery Input Tables'!$N$128,1),1,VLOOKUP(B65,'Machinery Input Tables'!$B$6:$AF$121,28,FALSE))*D65,"-")</f>
        <v>16.907479145828638</v>
      </c>
      <c r="I65" s="132">
        <f t="shared" si="2"/>
        <v>27.866746285880708</v>
      </c>
    </row>
    <row r="66" spans="2:9">
      <c r="B66" s="129" t="s">
        <v>729</v>
      </c>
      <c r="C66" s="129" t="s">
        <v>849</v>
      </c>
      <c r="D66" s="130">
        <v>0.06</v>
      </c>
      <c r="E66" s="131">
        <f>IFERROR(IF(ISBLANK(C66),"",IF(OR(ISBLANK(B66),IFERROR(VLOOKUP(B66,'Machinery Input Tables'!$B$6:$AF$121,13,FALSE),"")='Machinery Input Tables'!$N$128),1,VLOOKUP(B66,'Machinery Input Tables'!$B$6:$AF$121,28,FALSE))*VLOOKUP(C66,'Machinery Input Tables'!$AH$6:$BA$32,19,FALSE))*D66,"-")</f>
        <v>0.42749999999999999</v>
      </c>
      <c r="F66" s="131">
        <f>IFERROR(IF(AND(ISBLANK(B66)*ISBLANK(C66)),"",IF(ISBLANK(B66),1,IF(VLOOKUP(B66,'Machinery Input Tables'!$B$6:$AF$121,13,FALSE)='Machinery Input Tables'!$N$128,VLOOKUP(B66,'Machinery Input Tables'!$B$6:$AF$121,17,FALSE),VLOOKUP(B66,'Machinery Input Tables'!$B$6:$AF$121,28,FALSE))))*D66,"-")</f>
        <v>6.6000000000000003E-2</v>
      </c>
      <c r="G66" s="132">
        <f>IFERROR(IF(ISBLANK(C66),"",E66*'Machinery Input Tables'!$BP$10+F66*'Machinery Input Tables'!$BP$6+(VLOOKUP(C66,'Machinery Input Tables'!$AH$6:$BA$32,18,FALSE)*IF(IFERROR(VLOOKUP(B66,'Machinery Input Tables'!$B$6:$AF$121,13,FALSE)='Machinery Input Tables'!$N$128,1),1,VLOOKUP(B66,'Machinery Input Tables'!$B$6:$AF$121,28,FALSE))+IFERROR(VLOOKUP(B66,'Machinery Input Tables'!$B$6:$AF$121,27,FALSE),0))*D66),"-")</f>
        <v>4.3727846098243575</v>
      </c>
      <c r="H66" s="132">
        <f>IFERROR((IFERROR(VLOOKUP(B66,'Machinery Input Tables'!$B$6:$AF$121,24,FALSE),0)+VLOOKUP(C66,'Machinery Input Tables'!$AH$6:$BA$32,20,FALSE))*IF(IFERROR(VLOOKUP(B66,'Machinery Input Tables'!$B$6:$AF$121,13,FALSE)='Machinery Input Tables'!$N$128,1),1,VLOOKUP(B66,'Machinery Input Tables'!$B$6:$AF$121,28,FALSE))*D66,"-")</f>
        <v>2.267247308853189</v>
      </c>
      <c r="I66" s="132">
        <f t="shared" si="2"/>
        <v>6.6400319186775469</v>
      </c>
    </row>
    <row r="67" spans="2:9">
      <c r="B67" s="129" t="s">
        <v>846</v>
      </c>
      <c r="C67" s="129" t="s">
        <v>693</v>
      </c>
      <c r="D67" s="130">
        <v>0.03</v>
      </c>
      <c r="E67" s="131">
        <f>IFERROR(IF(ISBLANK(C67),"",IF(OR(ISBLANK(B67),IFERROR(VLOOKUP(B67,'Machinery Input Tables'!$B$6:$AF$121,13,FALSE),"")='Machinery Input Tables'!$N$128),1,VLOOKUP(B67,'Machinery Input Tables'!$B$6:$AF$121,28,FALSE))*VLOOKUP(C67,'Machinery Input Tables'!$AH$6:$BA$32,19,FALSE))*D67,"-")</f>
        <v>0.36959999999999993</v>
      </c>
      <c r="F67" s="131">
        <f>IFERROR(IF(AND(ISBLANK(B67)*ISBLANK(C67)),"",IF(ISBLANK(B67),1,IF(VLOOKUP(B67,'Machinery Input Tables'!$B$6:$AF$121,13,FALSE)='Machinery Input Tables'!$N$128,VLOOKUP(B67,'Machinery Input Tables'!$B$6:$AF$121,17,FALSE),VLOOKUP(B67,'Machinery Input Tables'!$B$6:$AF$121,28,FALSE))))*D67,"-")</f>
        <v>3.4499999999999996E-2</v>
      </c>
      <c r="G67" s="132">
        <f>IFERROR(IF(ISBLANK(C67),"",E67*'Machinery Input Tables'!$BP$10+F67*'Machinery Input Tables'!$BP$6+(VLOOKUP(C67,'Machinery Input Tables'!$AH$6:$BA$32,18,FALSE)*IF(IFERROR(VLOOKUP(B67,'Machinery Input Tables'!$B$6:$AF$121,13,FALSE)='Machinery Input Tables'!$N$128,1),1,VLOOKUP(B67,'Machinery Input Tables'!$B$6:$AF$121,28,FALSE))+IFERROR(VLOOKUP(B67,'Machinery Input Tables'!$B$6:$AF$121,27,FALSE),0))*D67),"-")</f>
        <v>3.2280993039057222</v>
      </c>
      <c r="H67" s="132">
        <f>IFERROR((IFERROR(VLOOKUP(B67,'Machinery Input Tables'!$B$6:$AF$121,24,FALSE),0)+VLOOKUP(C67,'Machinery Input Tables'!$AH$6:$BA$32,20,FALSE))*IF(IFERROR(VLOOKUP(B67,'Machinery Input Tables'!$B$6:$AF$121,13,FALSE)='Machinery Input Tables'!$N$128,1),1,VLOOKUP(B67,'Machinery Input Tables'!$B$6:$AF$121,28,FALSE))*D67,"-")</f>
        <v>3.9841700808568095</v>
      </c>
      <c r="I67" s="132">
        <f t="shared" si="2"/>
        <v>7.2122693847625321</v>
      </c>
    </row>
    <row r="68" spans="2:9">
      <c r="B68" s="129" t="s">
        <v>904</v>
      </c>
      <c r="C68" s="129" t="s">
        <v>804</v>
      </c>
      <c r="D68" s="130">
        <v>0.02</v>
      </c>
      <c r="E68" s="131">
        <f>IFERROR(IF(ISBLANK(C68),"",IF(OR(ISBLANK(B68),IFERROR(VLOOKUP(B68,'Machinery Input Tables'!$B$6:$AF$121,13,FALSE),"")='Machinery Input Tables'!$N$128),1,VLOOKUP(B68,'Machinery Input Tables'!$B$6:$AF$121,28,FALSE))*VLOOKUP(C68,'Machinery Input Tables'!$AH$6:$BA$32,19,FALSE))*D68,"-")</f>
        <v>0.1144</v>
      </c>
      <c r="F68" s="131">
        <f>IFERROR(IF(AND(ISBLANK(B68)*ISBLANK(C68)),"",IF(ISBLANK(B68),1,IF(VLOOKUP(B68,'Machinery Input Tables'!$B$6:$AF$121,13,FALSE)='Machinery Input Tables'!$N$128,VLOOKUP(B68,'Machinery Input Tables'!$B$6:$AF$121,17,FALSE),VLOOKUP(B68,'Machinery Input Tables'!$B$6:$AF$121,28,FALSE))))*D68,"-")</f>
        <v>2.1000000000000001E-2</v>
      </c>
      <c r="G68" s="132">
        <f>IFERROR(IF(ISBLANK(C68),"",E68*'Machinery Input Tables'!$BP$10+F68*'Machinery Input Tables'!$BP$6+(VLOOKUP(C68,'Machinery Input Tables'!$AH$6:$BA$32,18,FALSE)*IF(IFERROR(VLOOKUP(B68,'Machinery Input Tables'!$B$6:$AF$121,13,FALSE)='Machinery Input Tables'!$N$128,1),1,VLOOKUP(B68,'Machinery Input Tables'!$B$6:$AF$121,28,FALSE))+IFERROR(VLOOKUP(B68,'Machinery Input Tables'!$B$6:$AF$121,27,FALSE),0))*D68),"-")</f>
        <v>1.1412669275522791</v>
      </c>
      <c r="H68" s="132">
        <f>IFERROR((IFERROR(VLOOKUP(B68,'Machinery Input Tables'!$B$6:$AF$121,24,FALSE),0)+VLOOKUP(C68,'Machinery Input Tables'!$AH$6:$BA$32,20,FALSE))*IF(IFERROR(VLOOKUP(B68,'Machinery Input Tables'!$B$6:$AF$121,13,FALSE)='Machinery Input Tables'!$N$128,1),1,VLOOKUP(B68,'Machinery Input Tables'!$B$6:$AF$121,28,FALSE))*D68,"-")</f>
        <v>0.88121258762975607</v>
      </c>
      <c r="I68" s="132">
        <f t="shared" si="2"/>
        <v>2.0224795151820354</v>
      </c>
    </row>
    <row r="69" spans="2:9">
      <c r="B69" s="129"/>
      <c r="C69" s="129" t="s">
        <v>695</v>
      </c>
      <c r="D69" s="130">
        <v>0.25</v>
      </c>
      <c r="E69" s="131">
        <f>IFERROR(IF(ISBLANK(C69),"",IF(OR(ISBLANK(B69),IFERROR(VLOOKUP(B69,'Machinery Input Tables'!$B$6:$AF$121,13,FALSE),"")='Machinery Input Tables'!$N$128),1,VLOOKUP(B69,'Machinery Input Tables'!$B$6:$AF$121,28,FALSE))*VLOOKUP(C69,'Machinery Input Tables'!$AH$6:$BA$32,19,FALSE))*D69,"-")</f>
        <v>0.75</v>
      </c>
      <c r="F69" s="131">
        <f>IFERROR(IF(AND(ISBLANK(B69)*ISBLANK(C69)),"",IF(ISBLANK(B69),1,IF(VLOOKUP(B69,'Machinery Input Tables'!$B$6:$AF$121,13,FALSE)='Machinery Input Tables'!$N$128,VLOOKUP(B69,'Machinery Input Tables'!$B$6:$AF$121,17,FALSE),VLOOKUP(B69,'Machinery Input Tables'!$B$6:$AF$121,28,FALSE))))*D69,"-")</f>
        <v>0.25</v>
      </c>
      <c r="G69" s="132">
        <f>IFERROR(IF(ISBLANK(C69),"",E69*'Machinery Input Tables'!$BP$10+F69*'Machinery Input Tables'!$BP$6+(VLOOKUP(C69,'Machinery Input Tables'!$AH$6:$BA$32,18,FALSE)*IF(IFERROR(VLOOKUP(B69,'Machinery Input Tables'!$B$6:$AF$121,13,FALSE)='Machinery Input Tables'!$N$128,1),1,VLOOKUP(B69,'Machinery Input Tables'!$B$6:$AF$121,28,FALSE))+IFERROR(VLOOKUP(B69,'Machinery Input Tables'!$B$6:$AF$121,27,FALSE),0))*D69),"-")</f>
        <v>12.05</v>
      </c>
      <c r="H69" s="132">
        <f>IFERROR((IFERROR(VLOOKUP(B69,'Machinery Input Tables'!$B$6:$AF$121,24,FALSE),0)+VLOOKUP(C69,'Machinery Input Tables'!$AH$6:$BA$32,20,FALSE))*IF(IFERROR(VLOOKUP(B69,'Machinery Input Tables'!$B$6:$AF$121,13,FALSE)='Machinery Input Tables'!$N$128,1),1,VLOOKUP(B69,'Machinery Input Tables'!$B$6:$AF$121,28,FALSE))*D69,"-")</f>
        <v>4.9630979032408344</v>
      </c>
      <c r="I69" s="132">
        <f t="shared" si="2"/>
        <v>17.013097903240833</v>
      </c>
    </row>
    <row r="70" spans="2:9">
      <c r="B70" s="129"/>
      <c r="C70" s="129"/>
      <c r="D70" s="130"/>
      <c r="E70" s="131" t="str">
        <f>IFERROR(IF(ISBLANK(C70),"",IF(OR(ISBLANK(B70),IFERROR(VLOOKUP(B70,'Machinery Input Tables'!$B$6:$AF$121,13,FALSE),"")='Machinery Input Tables'!$N$128),1,VLOOKUP(B70,'Machinery Input Tables'!$B$6:$AF$121,28,FALSE))*VLOOKUP(C70,'Machinery Input Tables'!$AH$6:$BA$32,19,FALSE))*D70,"-")</f>
        <v>-</v>
      </c>
      <c r="F70" s="131" t="str">
        <f>IFERROR(IF(AND(ISBLANK(B70)*ISBLANK(C70)),"",IF(ISBLANK(B70),1,IF(VLOOKUP(B70,'Machinery Input Tables'!$B$6:$AF$121,13,FALSE)='Machinery Input Tables'!$N$128,VLOOKUP(B70,'Machinery Input Tables'!$B$6:$AF$121,17,FALSE),VLOOKUP(B70,'Machinery Input Tables'!$B$6:$AF$121,28,FALSE))))*D70,"-")</f>
        <v>-</v>
      </c>
      <c r="G70" s="132" t="str">
        <f>IFERROR(IF(ISBLANK(C70),"",E70*'Machinery Input Tables'!$BP$10+F70*'Machinery Input Tables'!$BP$6+(VLOOKUP(C70,'Machinery Input Tables'!$AH$6:$BA$32,18,FALSE)*IF(IFERROR(VLOOKUP(B70,'Machinery Input Tables'!$B$6:$AF$121,13,FALSE)='Machinery Input Tables'!$N$128,1),1,VLOOKUP(B70,'Machinery Input Tables'!$B$6:$AF$121,28,FALSE))+IFERROR(VLOOKUP(B70,'Machinery Input Tables'!$B$6:$AF$121,27,FALSE),0))*D70),"-")</f>
        <v/>
      </c>
      <c r="H70" s="132" t="str">
        <f>IFERROR((IFERROR(VLOOKUP(B70,'Machinery Input Tables'!$B$6:$AF$121,24,FALSE),0)+VLOOKUP(C70,'Machinery Input Tables'!$AH$6:$BA$32,20,FALSE))*IF(IFERROR(VLOOKUP(B70,'Machinery Input Tables'!$B$6:$AF$121,13,FALSE)='Machinery Input Tables'!$N$128,1),1,VLOOKUP(B70,'Machinery Input Tables'!$B$6:$AF$121,28,FALSE))*D70,"-")</f>
        <v>-</v>
      </c>
      <c r="I70" s="132">
        <f t="shared" si="2"/>
        <v>0</v>
      </c>
    </row>
    <row r="71" spans="2:9">
      <c r="B71" s="129"/>
      <c r="C71" s="129"/>
      <c r="D71" s="130"/>
      <c r="E71" s="131" t="str">
        <f>IFERROR(IF(ISBLANK(C71),"",IF(OR(ISBLANK(B71),IFERROR(VLOOKUP(B71,'Machinery Input Tables'!$B$6:$AF$121,13,FALSE),"")='Machinery Input Tables'!$N$128),1,VLOOKUP(B71,'Machinery Input Tables'!$B$6:$AF$121,28,FALSE))*VLOOKUP(C71,'Machinery Input Tables'!$AH$6:$BA$32,19,FALSE))*D71,"-")</f>
        <v>-</v>
      </c>
      <c r="F71" s="131" t="str">
        <f>IFERROR(IF(AND(ISBLANK(B71)*ISBLANK(C71)),"",IF(ISBLANK(B71),1,IF(VLOOKUP(B71,'Machinery Input Tables'!$B$6:$AF$121,13,FALSE)='Machinery Input Tables'!$N$128,VLOOKUP(B71,'Machinery Input Tables'!$B$6:$AF$121,17,FALSE),VLOOKUP(B71,'Machinery Input Tables'!$B$6:$AF$121,28,FALSE))))*D71,"-")</f>
        <v>-</v>
      </c>
      <c r="G71" s="132" t="str">
        <f>IFERROR(IF(ISBLANK(C71),"",E71*'Machinery Input Tables'!$BP$10+F71*'Machinery Input Tables'!$BP$6+(VLOOKUP(C71,'Machinery Input Tables'!$AH$6:$BA$32,18,FALSE)*IF(IFERROR(VLOOKUP(B71,'Machinery Input Tables'!$B$6:$AF$121,13,FALSE)='Machinery Input Tables'!$N$128,1),1,VLOOKUP(B71,'Machinery Input Tables'!$B$6:$AF$121,28,FALSE))+IFERROR(VLOOKUP(B71,'Machinery Input Tables'!$B$6:$AF$121,27,FALSE),0))*D71),"-")</f>
        <v/>
      </c>
      <c r="H71" s="132" t="str">
        <f>IFERROR((IFERROR(VLOOKUP(B71,'Machinery Input Tables'!$B$6:$AF$121,24,FALSE),0)+VLOOKUP(C71,'Machinery Input Tables'!$AH$6:$BA$32,20,FALSE))*IF(IFERROR(VLOOKUP(B71,'Machinery Input Tables'!$B$6:$AF$121,13,FALSE)='Machinery Input Tables'!$N$128,1),1,VLOOKUP(B71,'Machinery Input Tables'!$B$6:$AF$121,28,FALSE))*D71,"-")</f>
        <v>-</v>
      </c>
      <c r="I71" s="132">
        <f t="shared" si="2"/>
        <v>0</v>
      </c>
    </row>
    <row r="72" spans="2:9">
      <c r="B72" s="129"/>
      <c r="C72" s="129"/>
      <c r="D72" s="130"/>
      <c r="E72" s="131" t="str">
        <f>IFERROR(IF(ISBLANK(C72),"",IF(OR(ISBLANK(B72),IFERROR(VLOOKUP(B72,'Machinery Input Tables'!$B$6:$AF$121,13,FALSE),"")='Machinery Input Tables'!$N$128),1,VLOOKUP(B72,'Machinery Input Tables'!$B$6:$AF$121,28,FALSE))*VLOOKUP(C72,'Machinery Input Tables'!$AH$6:$BA$32,19,FALSE))*D72,"-")</f>
        <v>-</v>
      </c>
      <c r="F72" s="131" t="str">
        <f>IFERROR(IF(AND(ISBLANK(B72)*ISBLANK(C72)),"",IF(ISBLANK(B72),1,IF(VLOOKUP(B72,'Machinery Input Tables'!$B$6:$AF$121,13,FALSE)='Machinery Input Tables'!$N$128,VLOOKUP(B72,'Machinery Input Tables'!$B$6:$AF$121,17,FALSE),VLOOKUP(B72,'Machinery Input Tables'!$B$6:$AF$121,28,FALSE))))*D72,"-")</f>
        <v>-</v>
      </c>
      <c r="G72" s="132" t="str">
        <f>IFERROR(IF(ISBLANK(C72),"",E72*'Machinery Input Tables'!$BP$10+F72*'Machinery Input Tables'!$BP$6+(VLOOKUP(C72,'Machinery Input Tables'!$AH$6:$BA$32,18,FALSE)*IF(IFERROR(VLOOKUP(B72,'Machinery Input Tables'!$B$6:$AF$121,13,FALSE)='Machinery Input Tables'!$N$128,1),1,VLOOKUP(B72,'Machinery Input Tables'!$B$6:$AF$121,28,FALSE))+IFERROR(VLOOKUP(B72,'Machinery Input Tables'!$B$6:$AF$121,27,FALSE),0))*D72),"-")</f>
        <v/>
      </c>
      <c r="H72" s="132" t="str">
        <f>IFERROR((IFERROR(VLOOKUP(B72,'Machinery Input Tables'!$B$6:$AF$121,24,FALSE),0)+VLOOKUP(C72,'Machinery Input Tables'!$AH$6:$BA$32,20,FALSE))*IF(IFERROR(VLOOKUP(B72,'Machinery Input Tables'!$B$6:$AF$121,13,FALSE)='Machinery Input Tables'!$N$128,1),1,VLOOKUP(B72,'Machinery Input Tables'!$B$6:$AF$121,28,FALSE))*D72,"-")</f>
        <v>-</v>
      </c>
      <c r="I72" s="132">
        <f t="shared" si="2"/>
        <v>0</v>
      </c>
    </row>
    <row r="73" spans="2:9">
      <c r="B73" s="133"/>
      <c r="C73" s="133"/>
      <c r="D73" s="134"/>
      <c r="E73" s="135" t="str">
        <f>IFERROR(IF(ISBLANK(C73),"",IF(OR(ISBLANK(B73),IFERROR(VLOOKUP(B73,'Machinery Input Tables'!$B$6:$AF$121,13,FALSE),"")='Machinery Input Tables'!$N$128),1,VLOOKUP(B73,'Machinery Input Tables'!$B$6:$AF$121,28,FALSE))*VLOOKUP(C73,'Machinery Input Tables'!$AH$6:$BA$32,19,FALSE))*D73,"-")</f>
        <v>-</v>
      </c>
      <c r="F73" s="135" t="str">
        <f>IFERROR(IF(AND(ISBLANK(B73)*ISBLANK(C73)),"",IF(ISBLANK(B73),1,IF(VLOOKUP(B73,'Machinery Input Tables'!$B$6:$AF$121,13,FALSE)='Machinery Input Tables'!$N$128,VLOOKUP(B73,'Machinery Input Tables'!$B$6:$AF$121,17,FALSE),VLOOKUP(B73,'Machinery Input Tables'!$B$6:$AF$121,28,FALSE))))*D73,"-")</f>
        <v>-</v>
      </c>
      <c r="G73" s="136" t="str">
        <f>IFERROR(IF(ISBLANK(C73),"",E73*'Machinery Input Tables'!$BP$10+F73*'Machinery Input Tables'!$BP$6+(VLOOKUP(C73,'Machinery Input Tables'!$AH$6:$BA$32,18,FALSE)*IF(IFERROR(VLOOKUP(B73,'Machinery Input Tables'!$B$6:$AF$121,13,FALSE)='Machinery Input Tables'!$N$128,1),1,VLOOKUP(B73,'Machinery Input Tables'!$B$6:$AF$121,28,FALSE))+IFERROR(VLOOKUP(B73,'Machinery Input Tables'!$B$6:$AF$121,27,FALSE),0))*D73),"-")</f>
        <v/>
      </c>
      <c r="H73" s="136" t="str">
        <f>IFERROR((IFERROR(VLOOKUP(B73,'Machinery Input Tables'!$B$6:$AF$121,24,FALSE),0)+VLOOKUP(C73,'Machinery Input Tables'!$AH$6:$BA$32,20,FALSE))*IF(IFERROR(VLOOKUP(B73,'Machinery Input Tables'!$B$6:$AF$121,13,FALSE)='Machinery Input Tables'!$N$128,1),1,VLOOKUP(B73,'Machinery Input Tables'!$B$6:$AF$121,28,FALSE))*D73,"-")</f>
        <v>-</v>
      </c>
      <c r="I73" s="136">
        <f t="shared" si="2"/>
        <v>0</v>
      </c>
    </row>
    <row r="74" spans="2:9">
      <c r="B74" s="126"/>
      <c r="C74" s="137" t="s">
        <v>19</v>
      </c>
      <c r="D74" s="138"/>
      <c r="E74" s="139">
        <f>SUM(E63:E73)</f>
        <v>4.0239791666666669</v>
      </c>
      <c r="F74" s="139">
        <f t="shared" ref="F74:I74" si="3">SUM(F63:F73)</f>
        <v>0.51379166666666665</v>
      </c>
      <c r="G74" s="140">
        <f t="shared" si="3"/>
        <v>48.548984090535001</v>
      </c>
      <c r="H74" s="140">
        <f t="shared" si="3"/>
        <v>48.223118061574397</v>
      </c>
      <c r="I74" s="140">
        <f t="shared" si="3"/>
        <v>96.772102152109426</v>
      </c>
    </row>
    <row r="75" spans="2:9">
      <c r="B75" s="141" t="s">
        <v>874</v>
      </c>
      <c r="C75" s="72"/>
      <c r="D75" s="72"/>
      <c r="E75" s="72"/>
      <c r="F75" s="72"/>
      <c r="G75" s="72"/>
      <c r="H75" s="72"/>
    </row>
    <row r="76" spans="2:9">
      <c r="B76" s="141" t="s">
        <v>875</v>
      </c>
      <c r="C76" s="72"/>
      <c r="D76" s="72"/>
      <c r="E76" s="72"/>
      <c r="F76" s="72"/>
      <c r="G76" s="72"/>
      <c r="H76" s="72"/>
    </row>
    <row r="77" spans="2:9">
      <c r="B77" s="72"/>
      <c r="C77" s="72"/>
      <c r="D77" s="72"/>
      <c r="E77" s="72"/>
      <c r="F77" s="72"/>
      <c r="G77" s="72"/>
      <c r="H77" s="72"/>
    </row>
    <row r="78" spans="2:9" hidden="1">
      <c r="B78" s="72"/>
      <c r="C78" s="72"/>
      <c r="D78" s="72"/>
      <c r="E78" s="72"/>
      <c r="F78" s="72"/>
      <c r="G78" s="72"/>
      <c r="H78" s="72"/>
    </row>
    <row r="79" spans="2:9" hidden="1">
      <c r="H79" s="72"/>
    </row>
    <row r="80" spans="2:9" hidden="1">
      <c r="H80" s="72"/>
    </row>
    <row r="81" spans="2:8" hidden="1">
      <c r="H81" s="72"/>
    </row>
    <row r="82" spans="2:8" hidden="1">
      <c r="H82" s="72"/>
    </row>
    <row r="83" spans="2:8" hidden="1">
      <c r="H83" s="72"/>
    </row>
    <row r="84" spans="2:8" hidden="1">
      <c r="H84" s="72"/>
    </row>
    <row r="85" spans="2:8" hidden="1">
      <c r="H85" s="72"/>
    </row>
    <row r="86" spans="2:8" hidden="1">
      <c r="H86" s="72"/>
    </row>
    <row r="87" spans="2:8" hidden="1">
      <c r="H87" s="72"/>
    </row>
    <row r="88" spans="2:8" hidden="1">
      <c r="H88" s="72"/>
    </row>
    <row r="89" spans="2:8" hidden="1">
      <c r="B89" s="72"/>
      <c r="C89" s="72"/>
      <c r="D89" s="72"/>
      <c r="E89" s="74" t="s">
        <v>803</v>
      </c>
      <c r="F89" s="142">
        <f>F47</f>
        <v>92.633282531751405</v>
      </c>
      <c r="G89" s="72"/>
      <c r="H89" s="72"/>
    </row>
    <row r="90" spans="2:8" hidden="1">
      <c r="B90" s="72"/>
      <c r="C90" s="72"/>
      <c r="D90" s="72"/>
      <c r="E90" s="72"/>
      <c r="F90" s="72"/>
      <c r="G90" s="72"/>
      <c r="H90" s="72"/>
    </row>
    <row r="91" spans="2:8" hidden="1">
      <c r="H91" s="72"/>
    </row>
    <row r="92" spans="2:8" hidden="1">
      <c r="H92" s="72"/>
    </row>
    <row r="93" spans="2:8" hidden="1">
      <c r="H93" s="72"/>
    </row>
    <row r="94" spans="2:8" hidden="1">
      <c r="H94" s="72"/>
    </row>
    <row r="105" spans="8:8" hidden="1">
      <c r="H105" s="72"/>
    </row>
    <row r="106" spans="8:8" hidden="1">
      <c r="H106" s="72"/>
    </row>
    <row r="934" spans="2:3" hidden="1">
      <c r="B934" s="3" t="s">
        <v>41</v>
      </c>
    </row>
    <row r="935" spans="2:3" hidden="1">
      <c r="B935" s="3" t="s">
        <v>42</v>
      </c>
      <c r="C935" s="3">
        <v>5</v>
      </c>
    </row>
    <row r="936" spans="2:3" hidden="1">
      <c r="B936" s="3" t="s">
        <v>43</v>
      </c>
      <c r="C936" s="3">
        <v>1</v>
      </c>
    </row>
    <row r="937" spans="2:3" hidden="1">
      <c r="B937" s="3" t="s">
        <v>44</v>
      </c>
      <c r="C937" s="3">
        <v>1</v>
      </c>
    </row>
    <row r="938" spans="2:3" hidden="1">
      <c r="B938" s="3" t="s">
        <v>45</v>
      </c>
      <c r="C938" s="3">
        <v>2</v>
      </c>
    </row>
    <row r="939" spans="2:3" hidden="1">
      <c r="B939" s="3" t="s">
        <v>46</v>
      </c>
      <c r="C939" s="3">
        <v>1</v>
      </c>
    </row>
    <row r="940" spans="2:3" hidden="1">
      <c r="B940" s="3" t="s">
        <v>47</v>
      </c>
      <c r="C940" s="3">
        <v>0</v>
      </c>
    </row>
    <row r="941" spans="2:3" hidden="1">
      <c r="B941" s="3" t="s">
        <v>48</v>
      </c>
      <c r="C941" s="3">
        <v>0</v>
      </c>
    </row>
    <row r="942" spans="2:3" hidden="1">
      <c r="B942" s="3" t="s">
        <v>49</v>
      </c>
      <c r="C942" s="3">
        <v>0</v>
      </c>
    </row>
    <row r="943" spans="2:3" hidden="1">
      <c r="B943" s="3" t="s">
        <v>50</v>
      </c>
      <c r="C943" s="3">
        <v>0</v>
      </c>
    </row>
    <row r="944" spans="2:3" hidden="1">
      <c r="B944" s="3" t="s">
        <v>51</v>
      </c>
      <c r="C944" s="3">
        <v>0</v>
      </c>
    </row>
    <row r="945" spans="2:3" hidden="1">
      <c r="B945" s="3" t="s">
        <v>52</v>
      </c>
      <c r="C945" s="3">
        <v>0</v>
      </c>
    </row>
    <row r="946" spans="2:3" hidden="1">
      <c r="B946" s="3" t="s">
        <v>53</v>
      </c>
      <c r="C946" s="3" t="b">
        <v>1</v>
      </c>
    </row>
    <row r="947" spans="2:3" hidden="1">
      <c r="B947" s="3" t="s">
        <v>54</v>
      </c>
      <c r="C947" s="3">
        <v>0</v>
      </c>
    </row>
    <row r="948" spans="2:3" hidden="1">
      <c r="B948" s="3" t="s">
        <v>55</v>
      </c>
      <c r="C948" s="3" t="b">
        <v>1</v>
      </c>
    </row>
    <row r="949" spans="2:3" hidden="1">
      <c r="B949" s="3" t="s">
        <v>56</v>
      </c>
      <c r="C949" s="3">
        <v>0</v>
      </c>
    </row>
    <row r="950" spans="2:3" hidden="1">
      <c r="B950" s="3" t="s">
        <v>57</v>
      </c>
      <c r="C950" s="3">
        <v>0</v>
      </c>
    </row>
    <row r="951" spans="2:3" hidden="1">
      <c r="B951" s="3" t="s">
        <v>58</v>
      </c>
      <c r="C951" s="3" t="b">
        <v>1</v>
      </c>
    </row>
    <row r="952" spans="2:3" hidden="1">
      <c r="B952" s="3" t="s">
        <v>59</v>
      </c>
      <c r="C952" s="3">
        <v>0</v>
      </c>
    </row>
    <row r="953" spans="2:3" hidden="1">
      <c r="B953" s="3" t="s">
        <v>60</v>
      </c>
      <c r="C953" s="3">
        <v>0</v>
      </c>
    </row>
    <row r="954" spans="2:3" hidden="1">
      <c r="B954" s="3" t="s">
        <v>61</v>
      </c>
      <c r="C954" s="3">
        <v>0</v>
      </c>
    </row>
    <row r="955" spans="2:3" hidden="1">
      <c r="B955" s="3" t="s">
        <v>62</v>
      </c>
      <c r="C955" s="3">
        <v>0</v>
      </c>
    </row>
    <row r="956" spans="2:3" hidden="1">
      <c r="B956" s="3" t="s">
        <v>63</v>
      </c>
      <c r="C956" s="3" t="s">
        <v>358</v>
      </c>
    </row>
    <row r="957" spans="2:3" hidden="1">
      <c r="B957" s="3" t="s">
        <v>64</v>
      </c>
      <c r="C957" s="3">
        <v>100</v>
      </c>
    </row>
    <row r="958" spans="2:3" hidden="1">
      <c r="B958" s="3" t="s">
        <v>65</v>
      </c>
      <c r="C958" s="3">
        <v>25</v>
      </c>
    </row>
    <row r="959" spans="2:3" hidden="1">
      <c r="B959" s="3" t="s">
        <v>66</v>
      </c>
      <c r="C959" s="3">
        <v>9</v>
      </c>
    </row>
    <row r="960" spans="2:3" hidden="1">
      <c r="B960" s="3" t="s">
        <v>67</v>
      </c>
      <c r="C960" s="3">
        <v>0</v>
      </c>
    </row>
    <row r="961" spans="2:3" hidden="1">
      <c r="B961" s="3" t="s">
        <v>68</v>
      </c>
      <c r="C961" s="3">
        <v>0</v>
      </c>
    </row>
    <row r="962" spans="2:3" hidden="1">
      <c r="B962" s="3" t="s">
        <v>69</v>
      </c>
      <c r="C962" s="3">
        <v>0</v>
      </c>
    </row>
    <row r="963" spans="2:3" hidden="1">
      <c r="B963" s="3" t="s">
        <v>70</v>
      </c>
      <c r="C963" s="3">
        <v>0</v>
      </c>
    </row>
    <row r="964" spans="2:3" hidden="1">
      <c r="B964" s="3" t="s">
        <v>71</v>
      </c>
      <c r="C964" s="3">
        <v>0</v>
      </c>
    </row>
    <row r="965" spans="2:3" hidden="1">
      <c r="B965" s="3" t="s">
        <v>72</v>
      </c>
      <c r="C965" s="3">
        <v>60</v>
      </c>
    </row>
    <row r="966" spans="2:3" hidden="1">
      <c r="B966" s="3" t="s">
        <v>73</v>
      </c>
      <c r="C966" s="3">
        <v>0</v>
      </c>
    </row>
    <row r="967" spans="2:3" hidden="1">
      <c r="B967" s="3" t="s">
        <v>74</v>
      </c>
      <c r="C967" s="3">
        <v>0</v>
      </c>
    </row>
    <row r="968" spans="2:3" hidden="1">
      <c r="B968" s="3" t="s">
        <v>75</v>
      </c>
      <c r="C968" s="3">
        <v>0</v>
      </c>
    </row>
    <row r="969" spans="2:3" hidden="1">
      <c r="B969" s="3" t="s">
        <v>76</v>
      </c>
      <c r="C969" s="3">
        <v>0</v>
      </c>
    </row>
    <row r="970" spans="2:3" hidden="1">
      <c r="B970" s="3" t="s">
        <v>77</v>
      </c>
      <c r="C970" s="3">
        <v>0</v>
      </c>
    </row>
    <row r="971" spans="2:3" hidden="1">
      <c r="B971" s="3" t="s">
        <v>78</v>
      </c>
      <c r="C971" s="3">
        <v>200000</v>
      </c>
    </row>
    <row r="972" spans="2:3" hidden="1">
      <c r="B972" s="3" t="s">
        <v>79</v>
      </c>
      <c r="C972" s="3">
        <v>0</v>
      </c>
    </row>
    <row r="973" spans="2:3" hidden="1">
      <c r="B973" s="3" t="s">
        <v>80</v>
      </c>
      <c r="C973" s="3">
        <v>0</v>
      </c>
    </row>
    <row r="974" spans="2:3" hidden="1">
      <c r="B974" s="3" t="s">
        <v>81</v>
      </c>
      <c r="C974" s="3">
        <v>0</v>
      </c>
    </row>
    <row r="975" spans="2:3" hidden="1">
      <c r="B975" s="3" t="s">
        <v>82</v>
      </c>
      <c r="C975" s="3">
        <v>0</v>
      </c>
    </row>
    <row r="976" spans="2:3" hidden="1">
      <c r="B976" s="3" t="s">
        <v>83</v>
      </c>
      <c r="C976" s="3">
        <v>0</v>
      </c>
    </row>
    <row r="977" spans="2:3" hidden="1">
      <c r="B977" s="3" t="s">
        <v>84</v>
      </c>
      <c r="C977" s="3">
        <v>0</v>
      </c>
    </row>
    <row r="978" spans="2:3" hidden="1">
      <c r="B978" s="3" t="s">
        <v>85</v>
      </c>
      <c r="C978" s="3">
        <v>0</v>
      </c>
    </row>
    <row r="979" spans="2:3" hidden="1">
      <c r="B979" s="3" t="s">
        <v>86</v>
      </c>
      <c r="C979" s="3">
        <v>20</v>
      </c>
    </row>
    <row r="980" spans="2:3" hidden="1">
      <c r="B980" s="3" t="s">
        <v>87</v>
      </c>
      <c r="C980" s="3">
        <v>35</v>
      </c>
    </row>
    <row r="981" spans="2:3" hidden="1">
      <c r="B981" s="3" t="s">
        <v>88</v>
      </c>
      <c r="C981" s="3">
        <v>0</v>
      </c>
    </row>
    <row r="982" spans="2:3" hidden="1">
      <c r="B982" s="3" t="s">
        <v>89</v>
      </c>
      <c r="C982" s="3">
        <v>0</v>
      </c>
    </row>
    <row r="983" spans="2:3" hidden="1">
      <c r="B983" s="3" t="s">
        <v>90</v>
      </c>
      <c r="C983" s="3">
        <v>0</v>
      </c>
    </row>
    <row r="984" spans="2:3" hidden="1">
      <c r="B984" s="3" t="s">
        <v>91</v>
      </c>
      <c r="C984" s="3">
        <v>0</v>
      </c>
    </row>
    <row r="985" spans="2:3" hidden="1">
      <c r="B985" s="3" t="s">
        <v>92</v>
      </c>
      <c r="C985" s="3">
        <v>0</v>
      </c>
    </row>
    <row r="986" spans="2:3" hidden="1">
      <c r="B986" s="3" t="s">
        <v>93</v>
      </c>
      <c r="C986" s="3">
        <v>0</v>
      </c>
    </row>
    <row r="987" spans="2:3" hidden="1">
      <c r="B987" s="3" t="s">
        <v>94</v>
      </c>
      <c r="C987" s="3">
        <v>0.49</v>
      </c>
    </row>
    <row r="988" spans="2:3" hidden="1">
      <c r="B988" s="3" t="s">
        <v>95</v>
      </c>
      <c r="C988" s="3">
        <v>0.4</v>
      </c>
    </row>
    <row r="989" spans="2:3" hidden="1">
      <c r="B989" s="3" t="s">
        <v>96</v>
      </c>
      <c r="C989" s="3">
        <v>0</v>
      </c>
    </row>
    <row r="990" spans="2:3" hidden="1">
      <c r="B990" s="3" t="s">
        <v>97</v>
      </c>
      <c r="C990" s="3">
        <v>0</v>
      </c>
    </row>
    <row r="991" spans="2:3" hidden="1">
      <c r="B991" s="3" t="s">
        <v>98</v>
      </c>
      <c r="C991" s="3">
        <v>0</v>
      </c>
    </row>
    <row r="992" spans="2:3" hidden="1">
      <c r="B992" s="3" t="s">
        <v>99</v>
      </c>
      <c r="C992" s="3">
        <v>0</v>
      </c>
    </row>
    <row r="993" spans="2:3" hidden="1">
      <c r="B993" s="3" t="s">
        <v>100</v>
      </c>
      <c r="C993" s="3">
        <v>0</v>
      </c>
    </row>
    <row r="994" spans="2:3" hidden="1">
      <c r="B994" s="3" t="s">
        <v>101</v>
      </c>
      <c r="C994" s="3">
        <v>0</v>
      </c>
    </row>
    <row r="995" spans="2:3" hidden="1">
      <c r="B995" s="3" t="s">
        <v>102</v>
      </c>
      <c r="C995" s="3">
        <v>1</v>
      </c>
    </row>
    <row r="996" spans="2:3" hidden="1">
      <c r="B996" s="3" t="s">
        <v>103</v>
      </c>
      <c r="C996" s="3">
        <v>0</v>
      </c>
    </row>
    <row r="997" spans="2:3" hidden="1">
      <c r="B997" s="3" t="s">
        <v>104</v>
      </c>
      <c r="C997" s="3">
        <v>0</v>
      </c>
    </row>
    <row r="998" spans="2:3" hidden="1">
      <c r="B998" s="3" t="s">
        <v>105</v>
      </c>
      <c r="C998" s="3">
        <v>1</v>
      </c>
    </row>
    <row r="999" spans="2:3" hidden="1">
      <c r="B999" s="3" t="s">
        <v>106</v>
      </c>
      <c r="C999" s="3">
        <v>0</v>
      </c>
    </row>
    <row r="1000" spans="2:3" hidden="1">
      <c r="B1000" s="3" t="s">
        <v>107</v>
      </c>
      <c r="C1000" s="3">
        <v>0</v>
      </c>
    </row>
    <row r="1001" spans="2:3" hidden="1">
      <c r="B1001" s="3" t="s">
        <v>108</v>
      </c>
      <c r="C1001" s="3">
        <v>0</v>
      </c>
    </row>
    <row r="1002" spans="2:3" hidden="1">
      <c r="B1002" s="3" t="s">
        <v>109</v>
      </c>
      <c r="C1002" s="3">
        <v>0</v>
      </c>
    </row>
    <row r="1003" spans="2:3" hidden="1">
      <c r="B1003" s="3" t="s">
        <v>110</v>
      </c>
      <c r="C1003" s="3">
        <v>8.75</v>
      </c>
    </row>
    <row r="1004" spans="2:3" hidden="1">
      <c r="B1004" s="3" t="s">
        <v>111</v>
      </c>
      <c r="C1004" s="3">
        <v>0</v>
      </c>
    </row>
    <row r="1005" spans="2:3" hidden="1">
      <c r="B1005" s="3" t="s">
        <v>112</v>
      </c>
      <c r="C1005" s="3">
        <v>0</v>
      </c>
    </row>
    <row r="1006" spans="2:3" hidden="1">
      <c r="B1006" s="3" t="s">
        <v>113</v>
      </c>
      <c r="C1006" s="3">
        <v>0</v>
      </c>
    </row>
    <row r="1007" spans="2:3" hidden="1">
      <c r="B1007" s="3" t="s">
        <v>114</v>
      </c>
      <c r="C1007" s="3">
        <v>0</v>
      </c>
    </row>
    <row r="1008" spans="2:3" hidden="1">
      <c r="B1008" s="3" t="s">
        <v>115</v>
      </c>
      <c r="C1008" s="3">
        <v>0</v>
      </c>
    </row>
    <row r="1009" spans="2:3" hidden="1">
      <c r="B1009" s="3" t="s">
        <v>116</v>
      </c>
      <c r="C1009" s="3">
        <v>0</v>
      </c>
    </row>
    <row r="1010" spans="2:3" hidden="1">
      <c r="B1010" s="3" t="s">
        <v>117</v>
      </c>
      <c r="C1010" s="3">
        <v>0</v>
      </c>
    </row>
    <row r="1011" spans="2:3" hidden="1">
      <c r="B1011" s="3" t="s">
        <v>118</v>
      </c>
      <c r="C1011" s="3">
        <v>0</v>
      </c>
    </row>
    <row r="1012" spans="2:3" hidden="1">
      <c r="B1012" s="3" t="s">
        <v>119</v>
      </c>
      <c r="C1012" s="3">
        <v>0</v>
      </c>
    </row>
    <row r="1013" spans="2:3" hidden="1">
      <c r="B1013" s="3" t="s">
        <v>120</v>
      </c>
      <c r="C1013" s="3">
        <v>0</v>
      </c>
    </row>
    <row r="1014" spans="2:3" hidden="1">
      <c r="B1014" s="3" t="s">
        <v>121</v>
      </c>
      <c r="C1014" s="3">
        <v>0</v>
      </c>
    </row>
    <row r="1015" spans="2:3" hidden="1">
      <c r="B1015" s="3" t="s">
        <v>122</v>
      </c>
      <c r="C1015" s="3">
        <v>0</v>
      </c>
    </row>
    <row r="1016" spans="2:3" hidden="1">
      <c r="B1016" s="3" t="s">
        <v>123</v>
      </c>
      <c r="C1016" s="3">
        <v>0</v>
      </c>
    </row>
    <row r="1017" spans="2:3" hidden="1">
      <c r="B1017" s="3" t="s">
        <v>124</v>
      </c>
      <c r="C1017" s="3">
        <v>0</v>
      </c>
    </row>
    <row r="1018" spans="2:3" hidden="1">
      <c r="B1018" s="3" t="s">
        <v>125</v>
      </c>
      <c r="C1018" s="3">
        <v>0.5</v>
      </c>
    </row>
    <row r="1019" spans="2:3" hidden="1">
      <c r="B1019" s="3" t="s">
        <v>126</v>
      </c>
      <c r="C1019" s="3">
        <v>13.5</v>
      </c>
    </row>
    <row r="1020" spans="2:3" hidden="1">
      <c r="B1020" s="3" t="s">
        <v>127</v>
      </c>
      <c r="C1020" s="3">
        <v>18</v>
      </c>
    </row>
    <row r="1021" spans="2:3" hidden="1">
      <c r="B1021" s="3" t="s">
        <v>128</v>
      </c>
      <c r="C1021" s="3">
        <v>0</v>
      </c>
    </row>
    <row r="1022" spans="2:3" hidden="1">
      <c r="B1022" s="3" t="s">
        <v>129</v>
      </c>
      <c r="C1022" s="3">
        <v>0</v>
      </c>
    </row>
    <row r="1023" spans="2:3" hidden="1">
      <c r="B1023" s="3" t="s">
        <v>130</v>
      </c>
      <c r="C1023" s="3">
        <v>0</v>
      </c>
    </row>
    <row r="1024" spans="2:3" hidden="1">
      <c r="B1024" s="3" t="s">
        <v>131</v>
      </c>
      <c r="C1024" s="3">
        <v>3600</v>
      </c>
    </row>
    <row r="1025" spans="2:3" hidden="1">
      <c r="B1025" s="3" t="s">
        <v>132</v>
      </c>
      <c r="C1025" s="3">
        <v>0</v>
      </c>
    </row>
    <row r="1026" spans="2:3" hidden="1">
      <c r="B1026" s="3" t="s">
        <v>133</v>
      </c>
      <c r="C1026" s="3">
        <v>0</v>
      </c>
    </row>
    <row r="1027" spans="2:3" hidden="1">
      <c r="B1027" s="3" t="s">
        <v>134</v>
      </c>
      <c r="C1027" s="3">
        <v>0</v>
      </c>
    </row>
    <row r="1028" spans="2:3" hidden="1">
      <c r="B1028" s="3" t="s">
        <v>135</v>
      </c>
      <c r="C1028" s="3">
        <v>0</v>
      </c>
    </row>
    <row r="1029" spans="2:3" hidden="1">
      <c r="B1029" s="3" t="s">
        <v>136</v>
      </c>
      <c r="C1029" s="3">
        <v>6</v>
      </c>
    </row>
    <row r="1030" spans="2:3" hidden="1">
      <c r="B1030" s="3" t="s">
        <v>137</v>
      </c>
      <c r="C1030" s="3">
        <v>3.65</v>
      </c>
    </row>
    <row r="1031" spans="2:3" hidden="1">
      <c r="B1031" s="3" t="s">
        <v>138</v>
      </c>
      <c r="C1031" s="3">
        <v>3.38</v>
      </c>
    </row>
    <row r="1032" spans="2:3" hidden="1">
      <c r="B1032" s="3" t="s">
        <v>139</v>
      </c>
      <c r="C1032" s="3">
        <v>0</v>
      </c>
    </row>
    <row r="1033" spans="2:3" hidden="1">
      <c r="B1033" s="3" t="s">
        <v>140</v>
      </c>
      <c r="C1033" s="3">
        <v>0</v>
      </c>
    </row>
    <row r="1034" spans="2:3" hidden="1">
      <c r="B1034" s="3" t="s">
        <v>141</v>
      </c>
      <c r="C1034" s="3">
        <v>0</v>
      </c>
    </row>
    <row r="1035" spans="2:3" hidden="1">
      <c r="B1035" s="3" t="s">
        <v>142</v>
      </c>
      <c r="C1035" s="3">
        <v>0</v>
      </c>
    </row>
    <row r="1036" spans="2:3" hidden="1">
      <c r="B1036" s="3" t="s">
        <v>143</v>
      </c>
      <c r="C1036" s="3">
        <v>0</v>
      </c>
    </row>
    <row r="1037" spans="2:3" hidden="1">
      <c r="B1037" s="3" t="s">
        <v>144</v>
      </c>
      <c r="C1037" s="3">
        <v>0</v>
      </c>
    </row>
    <row r="1038" spans="2:3" hidden="1">
      <c r="B1038" s="3" t="s">
        <v>145</v>
      </c>
      <c r="C1038" s="3">
        <v>0</v>
      </c>
    </row>
    <row r="1039" spans="2:3" hidden="1">
      <c r="B1039" s="3" t="s">
        <v>146</v>
      </c>
      <c r="C1039" s="3">
        <v>0</v>
      </c>
    </row>
    <row r="1040" spans="2:3" hidden="1">
      <c r="B1040" s="3" t="s">
        <v>147</v>
      </c>
      <c r="C1040" s="3">
        <v>0</v>
      </c>
    </row>
    <row r="1041" spans="2:3" hidden="1">
      <c r="B1041" s="3" t="s">
        <v>148</v>
      </c>
      <c r="C1041" s="3">
        <v>5</v>
      </c>
    </row>
    <row r="1042" spans="2:3" hidden="1">
      <c r="B1042" s="3" t="s">
        <v>149</v>
      </c>
      <c r="C1042" s="3">
        <v>0</v>
      </c>
    </row>
    <row r="1043" spans="2:3" hidden="1">
      <c r="B1043" s="3" t="s">
        <v>150</v>
      </c>
      <c r="C1043" s="3">
        <v>0</v>
      </c>
    </row>
    <row r="1044" spans="2:3" hidden="1">
      <c r="B1044" s="3" t="s">
        <v>151</v>
      </c>
      <c r="C1044" s="3">
        <v>0</v>
      </c>
    </row>
    <row r="1045" spans="2:3" hidden="1">
      <c r="B1045" s="3" t="s">
        <v>152</v>
      </c>
      <c r="C1045" s="3">
        <v>6800</v>
      </c>
    </row>
    <row r="1046" spans="2:3" hidden="1">
      <c r="B1046" s="3" t="s">
        <v>153</v>
      </c>
      <c r="C1046" s="3">
        <v>0</v>
      </c>
    </row>
    <row r="1047" spans="2:3" hidden="1">
      <c r="B1047" s="3" t="s">
        <v>154</v>
      </c>
      <c r="C1047" s="3">
        <v>0</v>
      </c>
    </row>
    <row r="1048" spans="2:3" hidden="1">
      <c r="B1048" s="3" t="s">
        <v>155</v>
      </c>
      <c r="C1048" s="3">
        <v>8500</v>
      </c>
    </row>
    <row r="1049" spans="2:3" hidden="1">
      <c r="B1049" s="3" t="s">
        <v>156</v>
      </c>
      <c r="C1049" s="3">
        <v>0</v>
      </c>
    </row>
    <row r="1050" spans="2:3" hidden="1">
      <c r="B1050" s="3" t="s">
        <v>157</v>
      </c>
      <c r="C1050" s="3">
        <v>15000</v>
      </c>
    </row>
    <row r="1051" spans="2:3" hidden="1">
      <c r="B1051" s="3" t="s">
        <v>158</v>
      </c>
      <c r="C1051" s="3">
        <v>3</v>
      </c>
    </row>
    <row r="1052" spans="2:3" hidden="1">
      <c r="B1052" s="3" t="s">
        <v>159</v>
      </c>
      <c r="C1052" s="3">
        <v>0</v>
      </c>
    </row>
    <row r="1053" spans="2:3" hidden="1">
      <c r="B1053" s="3" t="s">
        <v>160</v>
      </c>
      <c r="C1053" s="3">
        <v>0</v>
      </c>
    </row>
    <row r="1054" spans="2:3" hidden="1">
      <c r="B1054" s="3" t="s">
        <v>161</v>
      </c>
      <c r="C1054" s="3">
        <v>0</v>
      </c>
    </row>
    <row r="1055" spans="2:3" hidden="1">
      <c r="B1055" s="3" t="s">
        <v>162</v>
      </c>
      <c r="C1055" s="3">
        <v>0</v>
      </c>
    </row>
    <row r="1056" spans="2:3" hidden="1">
      <c r="B1056" s="3" t="s">
        <v>163</v>
      </c>
      <c r="C1056" s="3">
        <v>0</v>
      </c>
    </row>
    <row r="1057" spans="2:3" hidden="1">
      <c r="B1057" s="3" t="s">
        <v>164</v>
      </c>
      <c r="C1057" s="3">
        <v>0</v>
      </c>
    </row>
    <row r="1058" spans="2:3" hidden="1">
      <c r="B1058" s="3" t="s">
        <v>165</v>
      </c>
      <c r="C1058" s="3">
        <v>0</v>
      </c>
    </row>
    <row r="1059" spans="2:3" hidden="1">
      <c r="B1059" s="3" t="s">
        <v>166</v>
      </c>
      <c r="C1059" s="3">
        <v>0</v>
      </c>
    </row>
    <row r="1060" spans="2:3" hidden="1">
      <c r="B1060" s="3" t="s">
        <v>167</v>
      </c>
      <c r="C1060" s="3">
        <v>0</v>
      </c>
    </row>
    <row r="1061" spans="2:3" hidden="1">
      <c r="B1061" s="3" t="s">
        <v>168</v>
      </c>
      <c r="C1061" s="3">
        <v>0</v>
      </c>
    </row>
    <row r="1062" spans="2:3" hidden="1">
      <c r="B1062" s="3" t="s">
        <v>169</v>
      </c>
      <c r="C1062" s="3">
        <v>0</v>
      </c>
    </row>
    <row r="1063" spans="2:3" hidden="1">
      <c r="B1063" s="3" t="s">
        <v>170</v>
      </c>
      <c r="C1063" s="3">
        <v>0</v>
      </c>
    </row>
    <row r="1064" spans="2:3" hidden="1">
      <c r="B1064" s="3" t="s">
        <v>171</v>
      </c>
      <c r="C1064" s="3">
        <v>0</v>
      </c>
    </row>
    <row r="1065" spans="2:3" hidden="1">
      <c r="B1065" s="3" t="s">
        <v>172</v>
      </c>
      <c r="C1065" s="3">
        <v>0</v>
      </c>
    </row>
    <row r="1066" spans="2:3" hidden="1">
      <c r="B1066" s="3" t="s">
        <v>173</v>
      </c>
      <c r="C1066" s="3">
        <v>0</v>
      </c>
    </row>
    <row r="1067" spans="2:3" hidden="1">
      <c r="B1067" s="3" t="s">
        <v>174</v>
      </c>
      <c r="C1067" s="3">
        <v>0</v>
      </c>
    </row>
    <row r="1068" spans="2:3" hidden="1">
      <c r="B1068" s="3" t="s">
        <v>175</v>
      </c>
      <c r="C1068" s="3">
        <v>0</v>
      </c>
    </row>
    <row r="1069" spans="2:3" hidden="1">
      <c r="B1069" s="3" t="s">
        <v>176</v>
      </c>
      <c r="C1069" s="3">
        <v>0</v>
      </c>
    </row>
    <row r="1070" spans="2:3" hidden="1">
      <c r="B1070" s="3" t="s">
        <v>177</v>
      </c>
      <c r="C1070" s="3">
        <v>0</v>
      </c>
    </row>
    <row r="1071" spans="2:3" hidden="1">
      <c r="B1071" s="3" t="s">
        <v>178</v>
      </c>
      <c r="C1071" s="3">
        <v>0</v>
      </c>
    </row>
    <row r="1072" spans="2:3" hidden="1">
      <c r="B1072" s="3" t="s">
        <v>179</v>
      </c>
      <c r="C1072" s="3">
        <v>0</v>
      </c>
    </row>
    <row r="1073" spans="2:3" hidden="1">
      <c r="B1073" s="3" t="s">
        <v>180</v>
      </c>
      <c r="C1073" s="3">
        <v>0</v>
      </c>
    </row>
    <row r="1074" spans="2:3" hidden="1">
      <c r="B1074" s="3" t="s">
        <v>181</v>
      </c>
      <c r="C1074" s="3">
        <v>0</v>
      </c>
    </row>
    <row r="1075" spans="2:3" hidden="1">
      <c r="B1075" s="3" t="s">
        <v>182</v>
      </c>
      <c r="C1075" s="3">
        <v>0</v>
      </c>
    </row>
    <row r="1076" spans="2:3" hidden="1">
      <c r="B1076" s="3" t="s">
        <v>183</v>
      </c>
      <c r="C1076" s="3">
        <v>0</v>
      </c>
    </row>
    <row r="1077" spans="2:3" hidden="1">
      <c r="B1077" s="3" t="s">
        <v>184</v>
      </c>
      <c r="C1077" s="3">
        <v>0</v>
      </c>
    </row>
    <row r="1078" spans="2:3" hidden="1">
      <c r="B1078" s="3" t="s">
        <v>185</v>
      </c>
      <c r="C1078" s="3">
        <v>0</v>
      </c>
    </row>
    <row r="1079" spans="2:3" hidden="1">
      <c r="B1079" s="3" t="s">
        <v>186</v>
      </c>
      <c r="C1079" s="3">
        <v>0</v>
      </c>
    </row>
    <row r="1080" spans="2:3" hidden="1">
      <c r="B1080" s="3" t="s">
        <v>187</v>
      </c>
      <c r="C1080" s="3">
        <v>0</v>
      </c>
    </row>
    <row r="1081" spans="2:3" hidden="1">
      <c r="B1081" s="3" t="s">
        <v>188</v>
      </c>
      <c r="C1081" s="3">
        <v>0</v>
      </c>
    </row>
    <row r="1082" spans="2:3" hidden="1">
      <c r="B1082" s="3" t="s">
        <v>189</v>
      </c>
      <c r="C1082" s="3">
        <v>0</v>
      </c>
    </row>
    <row r="1083" spans="2:3" hidden="1">
      <c r="B1083" s="3" t="s">
        <v>190</v>
      </c>
      <c r="C1083" s="3">
        <v>0</v>
      </c>
    </row>
    <row r="1084" spans="2:3" hidden="1">
      <c r="B1084" s="3" t="s">
        <v>191</v>
      </c>
      <c r="C1084" s="3" t="s">
        <v>192</v>
      </c>
    </row>
    <row r="1085" spans="2:3" hidden="1">
      <c r="B1085" s="3" t="s">
        <v>193</v>
      </c>
      <c r="C1085" s="3" t="s">
        <v>194</v>
      </c>
    </row>
    <row r="1086" spans="2:3" hidden="1">
      <c r="B1086" s="3" t="s">
        <v>195</v>
      </c>
      <c r="C1086" s="3" t="s">
        <v>196</v>
      </c>
    </row>
    <row r="1087" spans="2:3" hidden="1">
      <c r="B1087" s="3" t="s">
        <v>197</v>
      </c>
      <c r="C1087" s="3" t="s">
        <v>198</v>
      </c>
    </row>
    <row r="1088" spans="2:3" hidden="1">
      <c r="B1088" s="3" t="s">
        <v>199</v>
      </c>
      <c r="C1088" s="3" t="s">
        <v>200</v>
      </c>
    </row>
    <row r="1089" spans="2:3" hidden="1">
      <c r="B1089" s="3" t="s">
        <v>201</v>
      </c>
      <c r="C1089" s="3" t="s">
        <v>202</v>
      </c>
    </row>
    <row r="1090" spans="2:3" hidden="1">
      <c r="B1090" s="3" t="s">
        <v>203</v>
      </c>
      <c r="C1090" s="3" t="s">
        <v>204</v>
      </c>
    </row>
    <row r="1091" spans="2:3" hidden="1">
      <c r="B1091" s="3" t="s">
        <v>205</v>
      </c>
      <c r="C1091" s="3" t="s">
        <v>206</v>
      </c>
    </row>
    <row r="1092" spans="2:3" hidden="1">
      <c r="B1092" s="3" t="s">
        <v>207</v>
      </c>
      <c r="C1092" s="3" t="s">
        <v>208</v>
      </c>
    </row>
    <row r="1093" spans="2:3" hidden="1">
      <c r="B1093" s="3" t="s">
        <v>209</v>
      </c>
      <c r="C1093" s="3" t="s">
        <v>210</v>
      </c>
    </row>
    <row r="1094" spans="2:3" hidden="1">
      <c r="B1094" s="3" t="s">
        <v>211</v>
      </c>
      <c r="C1094" s="3" t="s">
        <v>212</v>
      </c>
    </row>
    <row r="1095" spans="2:3" hidden="1">
      <c r="B1095" s="3" t="s">
        <v>213</v>
      </c>
      <c r="C1095" s="3" t="s">
        <v>214</v>
      </c>
    </row>
    <row r="1096" spans="2:3" hidden="1">
      <c r="B1096" s="3" t="s">
        <v>215</v>
      </c>
      <c r="C1096" s="3" t="s">
        <v>212</v>
      </c>
    </row>
    <row r="1097" spans="2:3" hidden="1">
      <c r="B1097" s="3" t="s">
        <v>216</v>
      </c>
      <c r="C1097" s="3" t="s">
        <v>204</v>
      </c>
    </row>
    <row r="1098" spans="2:3" hidden="1">
      <c r="B1098" s="3" t="s">
        <v>217</v>
      </c>
      <c r="C1098" s="3" t="s">
        <v>192</v>
      </c>
    </row>
    <row r="1099" spans="2:3" hidden="1">
      <c r="B1099" s="3" t="s">
        <v>218</v>
      </c>
      <c r="C1099" s="3" t="s">
        <v>212</v>
      </c>
    </row>
    <row r="1100" spans="2:3" hidden="1">
      <c r="B1100" s="3" t="s">
        <v>219</v>
      </c>
      <c r="C1100" s="3" t="s">
        <v>212</v>
      </c>
    </row>
    <row r="1101" spans="2:3" hidden="1">
      <c r="B1101" s="3" t="s">
        <v>220</v>
      </c>
      <c r="C1101" s="3" t="s">
        <v>200</v>
      </c>
    </row>
    <row r="1102" spans="2:3" hidden="1">
      <c r="B1102" s="3" t="s">
        <v>221</v>
      </c>
      <c r="C1102" s="3" t="s">
        <v>222</v>
      </c>
    </row>
    <row r="1103" spans="2:3" hidden="1">
      <c r="B1103" s="3" t="s">
        <v>223</v>
      </c>
      <c r="C1103" s="3" t="s">
        <v>196</v>
      </c>
    </row>
    <row r="1104" spans="2:3" hidden="1">
      <c r="B1104" s="3" t="s">
        <v>224</v>
      </c>
      <c r="C1104" s="3" t="s">
        <v>222</v>
      </c>
    </row>
    <row r="1105" spans="2:3" hidden="1">
      <c r="B1105" s="3" t="s">
        <v>225</v>
      </c>
      <c r="C1105" s="3" t="s">
        <v>226</v>
      </c>
    </row>
    <row r="1106" spans="2:3" hidden="1">
      <c r="B1106" s="3" t="s">
        <v>227</v>
      </c>
      <c r="C1106" s="3" t="s">
        <v>228</v>
      </c>
    </row>
    <row r="1107" spans="2:3" hidden="1">
      <c r="B1107" s="3" t="s">
        <v>229</v>
      </c>
      <c r="C1107" s="3" t="s">
        <v>230</v>
      </c>
    </row>
    <row r="1108" spans="2:3" hidden="1">
      <c r="B1108" s="3" t="s">
        <v>231</v>
      </c>
      <c r="C1108" s="3" t="s">
        <v>192</v>
      </c>
    </row>
    <row r="1109" spans="2:3" hidden="1">
      <c r="B1109" s="3" t="s">
        <v>232</v>
      </c>
      <c r="C1109" s="3" t="s">
        <v>200</v>
      </c>
    </row>
    <row r="1110" spans="2:3" hidden="1">
      <c r="B1110" s="3" t="s">
        <v>233</v>
      </c>
      <c r="C1110" s="3" t="s">
        <v>234</v>
      </c>
    </row>
    <row r="1111" spans="2:3" hidden="1">
      <c r="B1111" s="3" t="s">
        <v>235</v>
      </c>
      <c r="C1111" s="3" t="s">
        <v>236</v>
      </c>
    </row>
    <row r="1112" spans="2:3" hidden="1">
      <c r="B1112" s="3" t="s">
        <v>237</v>
      </c>
      <c r="C1112" s="3">
        <v>0</v>
      </c>
    </row>
    <row r="1113" spans="2:3" hidden="1">
      <c r="B1113" s="3" t="s">
        <v>238</v>
      </c>
      <c r="C1113" s="3">
        <v>0</v>
      </c>
    </row>
    <row r="1114" spans="2:3" hidden="1">
      <c r="B1114" s="3" t="s">
        <v>239</v>
      </c>
      <c r="C1114" s="3">
        <v>0</v>
      </c>
    </row>
    <row r="1115" spans="2:3" hidden="1">
      <c r="B1115" s="3" t="s">
        <v>240</v>
      </c>
      <c r="C1115" s="3">
        <v>0</v>
      </c>
    </row>
    <row r="1116" spans="2:3" hidden="1">
      <c r="B1116" s="3" t="s">
        <v>242</v>
      </c>
      <c r="C1116" s="3">
        <v>0</v>
      </c>
    </row>
    <row r="1117" spans="2:3" hidden="1">
      <c r="B1117" s="3" t="s">
        <v>243</v>
      </c>
      <c r="C1117" s="3">
        <v>0</v>
      </c>
    </row>
    <row r="1118" spans="2:3" hidden="1">
      <c r="B1118" s="3" t="s">
        <v>244</v>
      </c>
      <c r="C1118" s="3">
        <v>0</v>
      </c>
    </row>
    <row r="1119" spans="2:3" hidden="1">
      <c r="B1119" s="3" t="s">
        <v>245</v>
      </c>
      <c r="C1119" s="3">
        <v>0</v>
      </c>
    </row>
    <row r="1120" spans="2:3" hidden="1">
      <c r="B1120" s="3" t="s">
        <v>246</v>
      </c>
      <c r="C1120" s="3">
        <v>0</v>
      </c>
    </row>
    <row r="1121" spans="2:3" hidden="1">
      <c r="B1121" s="3" t="s">
        <v>247</v>
      </c>
      <c r="C1121" s="3">
        <v>0</v>
      </c>
    </row>
    <row r="1122" spans="2:3" hidden="1">
      <c r="B1122" s="3" t="s">
        <v>248</v>
      </c>
      <c r="C1122" s="3">
        <v>0</v>
      </c>
    </row>
    <row r="1123" spans="2:3" hidden="1">
      <c r="B1123" s="3" t="s">
        <v>249</v>
      </c>
      <c r="C1123" s="3" t="s">
        <v>250</v>
      </c>
    </row>
    <row r="1124" spans="2:3" hidden="1">
      <c r="B1124" s="3" t="s">
        <v>251</v>
      </c>
      <c r="C1124" s="3">
        <v>0</v>
      </c>
    </row>
    <row r="1125" spans="2:3" hidden="1">
      <c r="B1125" s="3" t="s">
        <v>252</v>
      </c>
      <c r="C1125" s="3">
        <v>0</v>
      </c>
    </row>
    <row r="1126" spans="2:3" hidden="1">
      <c r="B1126" s="3" t="s">
        <v>253</v>
      </c>
      <c r="C1126" s="3">
        <v>0</v>
      </c>
    </row>
    <row r="1127" spans="2:3" hidden="1">
      <c r="B1127" s="3" t="s">
        <v>254</v>
      </c>
      <c r="C1127" s="3">
        <v>0</v>
      </c>
    </row>
    <row r="1128" spans="2:3" hidden="1">
      <c r="B1128" s="3" t="s">
        <v>255</v>
      </c>
      <c r="C1128" s="3">
        <v>0</v>
      </c>
    </row>
    <row r="1129" spans="2:3" hidden="1">
      <c r="B1129" s="3" t="s">
        <v>256</v>
      </c>
      <c r="C1129" s="3">
        <v>0</v>
      </c>
    </row>
    <row r="1130" spans="2:3" hidden="1">
      <c r="B1130" s="3" t="s">
        <v>257</v>
      </c>
      <c r="C1130" s="3">
        <v>0</v>
      </c>
    </row>
    <row r="1131" spans="2:3" hidden="1">
      <c r="B1131" s="3" t="s">
        <v>258</v>
      </c>
      <c r="C1131" s="3" t="s">
        <v>259</v>
      </c>
    </row>
    <row r="1132" spans="2:3" hidden="1">
      <c r="B1132" s="3" t="s">
        <v>260</v>
      </c>
      <c r="C1132" s="3">
        <v>0</v>
      </c>
    </row>
    <row r="1133" spans="2:3" hidden="1">
      <c r="B1133" s="3" t="s">
        <v>261</v>
      </c>
      <c r="C1133" s="3">
        <v>0</v>
      </c>
    </row>
    <row r="1134" spans="2:3" hidden="1">
      <c r="B1134" s="3" t="s">
        <v>262</v>
      </c>
      <c r="C1134" s="3">
        <v>0</v>
      </c>
    </row>
    <row r="1135" spans="2:3" hidden="1">
      <c r="B1135" s="3" t="s">
        <v>263</v>
      </c>
      <c r="C1135" s="3">
        <v>0</v>
      </c>
    </row>
    <row r="1136" spans="2:3" hidden="1">
      <c r="B1136" s="3" t="s">
        <v>264</v>
      </c>
      <c r="C1136" s="3">
        <v>0</v>
      </c>
    </row>
    <row r="1137" spans="2:3" hidden="1">
      <c r="B1137" s="3" t="s">
        <v>265</v>
      </c>
      <c r="C1137" s="3">
        <v>0</v>
      </c>
    </row>
    <row r="1138" spans="2:3" hidden="1">
      <c r="B1138" s="3" t="s">
        <v>266</v>
      </c>
      <c r="C1138" s="3">
        <v>0</v>
      </c>
    </row>
    <row r="1139" spans="2:3" hidden="1">
      <c r="B1139" s="3" t="s">
        <v>267</v>
      </c>
      <c r="C1139" s="3">
        <v>0</v>
      </c>
    </row>
    <row r="1140" spans="2:3" hidden="1">
      <c r="B1140" s="3" t="s">
        <v>268</v>
      </c>
      <c r="C1140" s="3">
        <v>0</v>
      </c>
    </row>
    <row r="1141" spans="2:3" hidden="1">
      <c r="B1141" s="3" t="s">
        <v>269</v>
      </c>
      <c r="C1141" s="3">
        <v>0</v>
      </c>
    </row>
    <row r="1142" spans="2:3" hidden="1">
      <c r="B1142" s="3" t="s">
        <v>270</v>
      </c>
      <c r="C1142" s="3">
        <v>0</v>
      </c>
    </row>
    <row r="1143" spans="2:3" hidden="1">
      <c r="B1143" s="3" t="s">
        <v>271</v>
      </c>
      <c r="C1143" s="3">
        <v>0</v>
      </c>
    </row>
    <row r="1144" spans="2:3" hidden="1">
      <c r="B1144" s="3" t="s">
        <v>272</v>
      </c>
      <c r="C1144" s="3">
        <v>0</v>
      </c>
    </row>
    <row r="1145" spans="2:3" hidden="1">
      <c r="B1145" s="3" t="s">
        <v>273</v>
      </c>
      <c r="C1145" s="3">
        <v>0</v>
      </c>
    </row>
    <row r="1146" spans="2:3" hidden="1">
      <c r="B1146" s="3" t="s">
        <v>274</v>
      </c>
      <c r="C1146" s="3">
        <v>0</v>
      </c>
    </row>
    <row r="1147" spans="2:3" hidden="1">
      <c r="B1147" s="3" t="s">
        <v>275</v>
      </c>
      <c r="C1147" s="3">
        <v>0</v>
      </c>
    </row>
    <row r="1148" spans="2:3" hidden="1">
      <c r="B1148" s="3" t="s">
        <v>276</v>
      </c>
      <c r="C1148" s="3">
        <v>0</v>
      </c>
    </row>
    <row r="1149" spans="2:3" hidden="1">
      <c r="B1149" s="3" t="s">
        <v>277</v>
      </c>
      <c r="C1149" s="3" t="s">
        <v>241</v>
      </c>
    </row>
    <row r="1150" spans="2:3" hidden="1">
      <c r="B1150" s="3" t="s">
        <v>278</v>
      </c>
      <c r="C1150" s="3">
        <v>0</v>
      </c>
    </row>
    <row r="1151" spans="2:3" hidden="1">
      <c r="B1151" s="3" t="s">
        <v>279</v>
      </c>
      <c r="C1151" s="3">
        <v>0</v>
      </c>
    </row>
    <row r="1152" spans="2:3" hidden="1">
      <c r="B1152" s="3" t="s">
        <v>280</v>
      </c>
      <c r="C1152" s="3">
        <v>0</v>
      </c>
    </row>
    <row r="1153" spans="2:3" hidden="1">
      <c r="B1153" s="3" t="s">
        <v>281</v>
      </c>
      <c r="C1153" s="3">
        <v>0</v>
      </c>
    </row>
    <row r="1154" spans="2:3" hidden="1">
      <c r="B1154" s="3" t="s">
        <v>282</v>
      </c>
      <c r="C1154" s="3">
        <v>0</v>
      </c>
    </row>
    <row r="1155" spans="2:3" hidden="1">
      <c r="B1155" s="3" t="s">
        <v>283</v>
      </c>
      <c r="C1155" s="3">
        <v>0</v>
      </c>
    </row>
    <row r="1156" spans="2:3" hidden="1">
      <c r="B1156" s="3" t="s">
        <v>284</v>
      </c>
      <c r="C1156" s="3">
        <v>0</v>
      </c>
    </row>
    <row r="1157" spans="2:3" hidden="1">
      <c r="B1157" s="3" t="s">
        <v>285</v>
      </c>
      <c r="C1157" s="3">
        <v>0</v>
      </c>
    </row>
    <row r="1158" spans="2:3" hidden="1">
      <c r="B1158" s="3" t="s">
        <v>286</v>
      </c>
      <c r="C1158" s="3">
        <v>0</v>
      </c>
    </row>
    <row r="1159" spans="2:3" hidden="1">
      <c r="B1159" s="3" t="s">
        <v>287</v>
      </c>
      <c r="C1159" s="3">
        <v>0</v>
      </c>
    </row>
    <row r="1160" spans="2:3" hidden="1">
      <c r="B1160" s="3" t="s">
        <v>288</v>
      </c>
      <c r="C1160" s="3">
        <v>0</v>
      </c>
    </row>
    <row r="1161" spans="2:3" hidden="1">
      <c r="B1161" s="3" t="s">
        <v>289</v>
      </c>
      <c r="C1161" s="3">
        <v>1</v>
      </c>
    </row>
    <row r="1162" spans="2:3" hidden="1">
      <c r="B1162" s="3" t="s">
        <v>290</v>
      </c>
      <c r="C1162" s="3">
        <v>0</v>
      </c>
    </row>
    <row r="1163" spans="2:3" hidden="1">
      <c r="B1163" s="3" t="s">
        <v>291</v>
      </c>
      <c r="C1163" s="3">
        <v>0</v>
      </c>
    </row>
    <row r="1164" spans="2:3" hidden="1">
      <c r="B1164" s="3" t="s">
        <v>292</v>
      </c>
      <c r="C1164" s="3">
        <v>0</v>
      </c>
    </row>
    <row r="1165" spans="2:3" hidden="1">
      <c r="B1165" s="3" t="s">
        <v>293</v>
      </c>
      <c r="C1165" s="3">
        <v>0</v>
      </c>
    </row>
    <row r="1166" spans="2:3" hidden="1">
      <c r="B1166" s="3" t="s">
        <v>294</v>
      </c>
      <c r="C1166" s="3">
        <v>0</v>
      </c>
    </row>
    <row r="1167" spans="2:3" hidden="1">
      <c r="B1167" s="3" t="s">
        <v>295</v>
      </c>
      <c r="C1167" s="3">
        <v>0</v>
      </c>
    </row>
    <row r="1168" spans="2:3" hidden="1">
      <c r="B1168" s="3" t="s">
        <v>296</v>
      </c>
      <c r="C1168" s="3">
        <v>0</v>
      </c>
    </row>
    <row r="1169" spans="2:3" hidden="1">
      <c r="B1169" s="3" t="s">
        <v>297</v>
      </c>
      <c r="C1169" s="3">
        <v>1</v>
      </c>
    </row>
    <row r="1170" spans="2:3" hidden="1">
      <c r="B1170" s="3" t="s">
        <v>298</v>
      </c>
      <c r="C1170" s="3">
        <v>0</v>
      </c>
    </row>
    <row r="1171" spans="2:3" hidden="1">
      <c r="B1171" s="3" t="s">
        <v>299</v>
      </c>
      <c r="C1171" s="3">
        <v>0</v>
      </c>
    </row>
    <row r="1172" spans="2:3" hidden="1">
      <c r="B1172" s="3" t="s">
        <v>300</v>
      </c>
      <c r="C1172" s="3">
        <v>0</v>
      </c>
    </row>
    <row r="1173" spans="2:3" hidden="1">
      <c r="B1173" s="3" t="s">
        <v>301</v>
      </c>
      <c r="C1173" s="3">
        <v>0</v>
      </c>
    </row>
    <row r="1174" spans="2:3" hidden="1">
      <c r="B1174" s="3" t="s">
        <v>302</v>
      </c>
      <c r="C1174" s="3">
        <v>0</v>
      </c>
    </row>
    <row r="1175" spans="2:3" hidden="1">
      <c r="B1175" s="3" t="s">
        <v>303</v>
      </c>
      <c r="C1175" s="3">
        <v>0</v>
      </c>
    </row>
    <row r="1176" spans="2:3" hidden="1">
      <c r="B1176" s="3" t="s">
        <v>304</v>
      </c>
      <c r="C1176" s="3">
        <v>0</v>
      </c>
    </row>
    <row r="1177" spans="2:3" hidden="1">
      <c r="B1177" s="3" t="s">
        <v>305</v>
      </c>
      <c r="C1177" s="3">
        <v>0</v>
      </c>
    </row>
    <row r="1178" spans="2:3" hidden="1">
      <c r="B1178" s="3" t="s">
        <v>306</v>
      </c>
      <c r="C1178" s="3">
        <v>0</v>
      </c>
    </row>
    <row r="1179" spans="2:3" hidden="1">
      <c r="B1179" s="3" t="s">
        <v>307</v>
      </c>
      <c r="C1179" s="3">
        <v>0</v>
      </c>
    </row>
    <row r="1180" spans="2:3" hidden="1">
      <c r="B1180" s="3" t="s">
        <v>308</v>
      </c>
      <c r="C1180" s="3">
        <v>0</v>
      </c>
    </row>
    <row r="1181" spans="2:3" hidden="1">
      <c r="B1181" s="3" t="s">
        <v>309</v>
      </c>
      <c r="C1181" s="3">
        <v>0</v>
      </c>
    </row>
    <row r="1182" spans="2:3" hidden="1">
      <c r="B1182" s="3" t="s">
        <v>310</v>
      </c>
      <c r="C1182" s="3">
        <v>0</v>
      </c>
    </row>
    <row r="1183" spans="2:3" hidden="1">
      <c r="B1183" s="3" t="s">
        <v>311</v>
      </c>
      <c r="C1183" s="3">
        <v>0</v>
      </c>
    </row>
    <row r="1184" spans="2:3" hidden="1">
      <c r="B1184" s="3" t="s">
        <v>312</v>
      </c>
      <c r="C1184" s="3">
        <v>0</v>
      </c>
    </row>
    <row r="1185" spans="2:3" hidden="1">
      <c r="B1185" s="3" t="s">
        <v>313</v>
      </c>
      <c r="C1185" s="3">
        <v>0</v>
      </c>
    </row>
    <row r="1186" spans="2:3" hidden="1">
      <c r="B1186" s="3" t="s">
        <v>314</v>
      </c>
      <c r="C1186" s="3">
        <v>0</v>
      </c>
    </row>
    <row r="1187" spans="2:3" hidden="1">
      <c r="B1187" s="3" t="s">
        <v>315</v>
      </c>
      <c r="C1187" s="3">
        <v>0</v>
      </c>
    </row>
    <row r="1188" spans="2:3" hidden="1">
      <c r="B1188" s="3" t="s">
        <v>316</v>
      </c>
      <c r="C1188" s="3">
        <v>1</v>
      </c>
    </row>
    <row r="1189" spans="2:3" hidden="1">
      <c r="B1189" s="3" t="s">
        <v>317</v>
      </c>
      <c r="C1189" s="3">
        <v>0</v>
      </c>
    </row>
    <row r="1190" spans="2:3" hidden="1">
      <c r="B1190" s="3" t="s">
        <v>318</v>
      </c>
      <c r="C1190" s="3">
        <v>0</v>
      </c>
    </row>
    <row r="1191" spans="2:3" hidden="1">
      <c r="B1191" s="3" t="s">
        <v>319</v>
      </c>
      <c r="C1191" s="3">
        <v>0</v>
      </c>
    </row>
    <row r="1192" spans="2:3" hidden="1">
      <c r="B1192" s="3" t="s">
        <v>320</v>
      </c>
      <c r="C1192" s="3">
        <v>0</v>
      </c>
    </row>
    <row r="1193" spans="2:3" hidden="1">
      <c r="B1193" s="3" t="s">
        <v>321</v>
      </c>
      <c r="C1193" s="3">
        <v>0</v>
      </c>
    </row>
    <row r="1194" spans="2:3" hidden="1">
      <c r="B1194" s="3" t="s">
        <v>322</v>
      </c>
      <c r="C1194" s="3">
        <v>0</v>
      </c>
    </row>
    <row r="1195" spans="2:3" hidden="1">
      <c r="B1195" s="3" t="s">
        <v>323</v>
      </c>
      <c r="C1195" s="3">
        <v>0</v>
      </c>
    </row>
    <row r="1196" spans="2:3" hidden="1">
      <c r="B1196" s="3" t="s">
        <v>324</v>
      </c>
      <c r="C1196" s="3">
        <v>0</v>
      </c>
    </row>
    <row r="1197" spans="2:3" hidden="1">
      <c r="B1197" s="3" t="s">
        <v>325</v>
      </c>
      <c r="C1197" s="3">
        <v>0</v>
      </c>
    </row>
    <row r="1198" spans="2:3" hidden="1">
      <c r="B1198" s="3" t="s">
        <v>326</v>
      </c>
      <c r="C1198" s="3">
        <v>0</v>
      </c>
    </row>
    <row r="1199" spans="2:3" hidden="1">
      <c r="B1199" s="3" t="s">
        <v>327</v>
      </c>
      <c r="C1199" s="3">
        <v>0</v>
      </c>
    </row>
    <row r="1200" spans="2:3" hidden="1">
      <c r="B1200" s="3" t="s">
        <v>328</v>
      </c>
      <c r="C1200" s="3">
        <v>0</v>
      </c>
    </row>
    <row r="1201" spans="2:3" hidden="1">
      <c r="B1201" s="3" t="s">
        <v>329</v>
      </c>
      <c r="C1201" s="3">
        <v>0</v>
      </c>
    </row>
    <row r="1202" spans="2:3" hidden="1">
      <c r="B1202" s="3" t="s">
        <v>330</v>
      </c>
      <c r="C1202" s="3">
        <v>0</v>
      </c>
    </row>
    <row r="1203" spans="2:3" hidden="1">
      <c r="B1203" s="3" t="s">
        <v>331</v>
      </c>
      <c r="C1203" s="3">
        <v>0</v>
      </c>
    </row>
    <row r="1204" spans="2:3" hidden="1">
      <c r="B1204" s="3" t="s">
        <v>332</v>
      </c>
      <c r="C1204" s="3">
        <v>0</v>
      </c>
    </row>
    <row r="1205" spans="2:3" hidden="1">
      <c r="B1205" s="3" t="s">
        <v>333</v>
      </c>
      <c r="C1205" s="3">
        <v>0</v>
      </c>
    </row>
    <row r="1206" spans="2:3" hidden="1">
      <c r="B1206" s="3" t="s">
        <v>334</v>
      </c>
      <c r="C1206" s="3">
        <v>0</v>
      </c>
    </row>
    <row r="1207" spans="2:3" hidden="1">
      <c r="B1207" s="3" t="s">
        <v>335</v>
      </c>
      <c r="C1207" s="3">
        <v>0</v>
      </c>
    </row>
    <row r="1208" spans="2:3" hidden="1">
      <c r="B1208" s="3" t="s">
        <v>336</v>
      </c>
      <c r="C1208" s="3">
        <v>0</v>
      </c>
    </row>
    <row r="1209" spans="2:3" hidden="1">
      <c r="B1209" s="3" t="s">
        <v>337</v>
      </c>
      <c r="C1209" s="3">
        <v>0</v>
      </c>
    </row>
    <row r="1210" spans="2:3" hidden="1">
      <c r="B1210" s="3" t="s">
        <v>338</v>
      </c>
      <c r="C1210" s="3">
        <v>0</v>
      </c>
    </row>
    <row r="1211" spans="2:3" hidden="1">
      <c r="B1211" s="3" t="s">
        <v>339</v>
      </c>
      <c r="C1211" s="3">
        <v>0</v>
      </c>
    </row>
    <row r="1212" spans="2:3" hidden="1">
      <c r="B1212" s="3" t="s">
        <v>340</v>
      </c>
      <c r="C1212" s="3">
        <v>0</v>
      </c>
    </row>
    <row r="1213" spans="2:3" hidden="1">
      <c r="B1213" s="3" t="s">
        <v>341</v>
      </c>
      <c r="C1213" s="3">
        <v>0</v>
      </c>
    </row>
    <row r="1214" spans="2:3" hidden="1">
      <c r="B1214" s="3" t="s">
        <v>342</v>
      </c>
      <c r="C1214" s="3">
        <v>0</v>
      </c>
    </row>
    <row r="1215" spans="2:3" hidden="1">
      <c r="B1215" s="3" t="s">
        <v>343</v>
      </c>
      <c r="C1215" s="3">
        <v>0</v>
      </c>
    </row>
    <row r="1216" spans="2:3" hidden="1">
      <c r="B1216" s="3" t="s">
        <v>344</v>
      </c>
      <c r="C1216" s="3">
        <v>0</v>
      </c>
    </row>
    <row r="1217" spans="2:3" hidden="1">
      <c r="B1217" s="3" t="s">
        <v>345</v>
      </c>
      <c r="C1217" s="3">
        <v>0</v>
      </c>
    </row>
    <row r="1218" spans="2:3" hidden="1">
      <c r="B1218" s="3" t="s">
        <v>346</v>
      </c>
      <c r="C1218" s="3">
        <v>0</v>
      </c>
    </row>
    <row r="1219" spans="2:3" hidden="1">
      <c r="B1219" s="3" t="s">
        <v>347</v>
      </c>
      <c r="C1219" s="3">
        <v>0</v>
      </c>
    </row>
    <row r="1220" spans="2:3" hidden="1">
      <c r="B1220" s="3" t="s">
        <v>348</v>
      </c>
      <c r="C1220" s="3">
        <v>0</v>
      </c>
    </row>
    <row r="1221" spans="2:3" hidden="1">
      <c r="B1221" s="3" t="s">
        <v>349</v>
      </c>
      <c r="C1221" s="3">
        <v>0</v>
      </c>
    </row>
    <row r="1222" spans="2:3" hidden="1">
      <c r="B1222" s="3" t="s">
        <v>350</v>
      </c>
      <c r="C1222" s="3">
        <v>0</v>
      </c>
    </row>
    <row r="1223" spans="2:3" hidden="1">
      <c r="B1223" s="3" t="s">
        <v>351</v>
      </c>
      <c r="C1223" s="3">
        <v>0</v>
      </c>
    </row>
    <row r="1224" spans="2:3" hidden="1">
      <c r="B1224" s="3" t="s">
        <v>352</v>
      </c>
      <c r="C1224" s="3">
        <v>0</v>
      </c>
    </row>
    <row r="1225" spans="2:3" hidden="1">
      <c r="B1225" s="3" t="s">
        <v>353</v>
      </c>
      <c r="C1225" s="3">
        <v>0</v>
      </c>
    </row>
    <row r="1226" spans="2:3" hidden="1">
      <c r="B1226" s="3" t="s">
        <v>354</v>
      </c>
      <c r="C1226" s="3">
        <v>0</v>
      </c>
    </row>
    <row r="1227" spans="2:3" hidden="1">
      <c r="B1227" s="3" t="s">
        <v>355</v>
      </c>
      <c r="C1227" s="3">
        <v>0</v>
      </c>
    </row>
    <row r="1228" spans="2:3" hidden="1">
      <c r="B1228" s="3" t="s">
        <v>356</v>
      </c>
      <c r="C1228" s="3">
        <v>0</v>
      </c>
    </row>
    <row r="1229" spans="2:3" hidden="1">
      <c r="B1229" s="3" t="s">
        <v>357</v>
      </c>
      <c r="C1229" s="3">
        <v>0</v>
      </c>
    </row>
  </sheetData>
  <sheetProtection sheet="1" objects="1" scenarios="1"/>
  <protectedRanges>
    <protectedRange sqref="D3 D5:E6 C6 F7:F8 D12:E12 D14:D16 D18 F17 D20:E23 D24:D25 E25 F26:F27 D32 F33 D38 F40 B54:B57 E54:F57 B63:D73" name="Grey cells"/>
  </protectedRanges>
  <mergeCells count="10">
    <mergeCell ref="B60:B61"/>
    <mergeCell ref="C60:C61"/>
    <mergeCell ref="E60:E61"/>
    <mergeCell ref="F60:F61"/>
    <mergeCell ref="I60:I61"/>
    <mergeCell ref="B2:F2"/>
    <mergeCell ref="I4:P4"/>
    <mergeCell ref="H5:H12"/>
    <mergeCell ref="B52:F52"/>
    <mergeCell ref="B59:I59"/>
  </mergeCells>
  <conditionalFormatting sqref="B72:C72">
    <cfRule type="expression" dxfId="48" priority="10" stopIfTrue="1">
      <formula>MID($B72,1,4)="Rent"</formula>
    </cfRule>
  </conditionalFormatting>
  <conditionalFormatting sqref="C32">
    <cfRule type="expression" dxfId="47" priority="5">
      <formula>#REF!="yes"</formula>
    </cfRule>
  </conditionalFormatting>
  <conditionalFormatting sqref="C31:D31 C34:E34">
    <cfRule type="expression" dxfId="46" priority="11">
      <formula>#REF!="yes"</formula>
    </cfRule>
  </conditionalFormatting>
  <conditionalFormatting sqref="D4">
    <cfRule type="expression" dxfId="45" priority="9">
      <formula>$F$1="no"</formula>
    </cfRule>
  </conditionalFormatting>
  <conditionalFormatting sqref="D11">
    <cfRule type="expression" dxfId="44" priority="8">
      <formula>#REF!="no"</formula>
    </cfRule>
  </conditionalFormatting>
  <conditionalFormatting sqref="D32:D33">
    <cfRule type="expression" dxfId="43" priority="4">
      <formula>#REF!="yes"</formula>
    </cfRule>
  </conditionalFormatting>
  <conditionalFormatting sqref="D12:E30">
    <cfRule type="expression" dxfId="42" priority="1">
      <formula>#REF!="yes"</formula>
    </cfRule>
  </conditionalFormatting>
  <dataValidations count="1">
    <dataValidation type="list" allowBlank="1" showInputMessage="1" showErrorMessage="1" sqref="F1" xr:uid="{E750FE37-8A54-4C69-BF32-AEA887A51586}">
      <formula1>"Yes, No"</formula1>
    </dataValidation>
  </dataValidations>
  <pageMargins left="0.7" right="0.7" top="0.75" bottom="0.75" header="0.3" footer="0.3"/>
  <pageSetup scale="67"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AB958B9A-6CBB-46F3-B324-21CF9BE161E7}">
          <x14:formula1>
            <xm:f>'Machinery Input Tables'!$C$133:$C$184</xm:f>
          </x14:formula1>
          <xm:sqref>B54:B57</xm:sqref>
        </x14:dataValidation>
        <x14:dataValidation type="list" allowBlank="1" showInputMessage="1" showErrorMessage="1" xr:uid="{0F011F87-57C0-4516-808B-28D789A34817}">
          <x14:formula1>
            <xm:f>'Machinery Input Tables'!$B$6:$B$121</xm:f>
          </x14:formula1>
          <xm:sqref>B63:B73</xm:sqref>
        </x14:dataValidation>
        <x14:dataValidation type="list" allowBlank="1" showInputMessage="1" showErrorMessage="1" xr:uid="{118FF7CC-D140-4363-9D8C-8928EF885FBE}">
          <x14:formula1>
            <xm:f>'Machinery Input Tables'!$AH$6:$AH$32</xm:f>
          </x14:formula1>
          <xm:sqref>C63:C73</xm:sqref>
        </x14:dataValidation>
        <x14:dataValidation type="list" allowBlank="1" showInputMessage="1" showErrorMessage="1" xr:uid="{A5F3E872-1748-4067-9E2F-B18058D7EB4F}">
          <x14:formula1>
            <xm:f>'Irrigation costs'!$D$2:$G$2</xm:f>
          </x14:formula1>
          <xm:sqref>D3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5FE54-FB18-41B4-8D63-022A3306E0B2}">
  <sheetPr>
    <pageSetUpPr fitToPage="1"/>
  </sheetPr>
  <dimension ref="A1:Q1229"/>
  <sheetViews>
    <sheetView showGridLines="0" topLeftCell="A27" zoomScaleNormal="100" workbookViewId="0">
      <selection activeCell="F30" sqref="F30"/>
    </sheetView>
  </sheetViews>
  <sheetFormatPr defaultColWidth="0" defaultRowHeight="16.5" zeroHeight="1"/>
  <cols>
    <col min="1" max="1" width="3.125" style="3" customWidth="1"/>
    <col min="2" max="2" width="34.875" style="3" customWidth="1"/>
    <col min="3" max="3" width="20.25" style="3" customWidth="1"/>
    <col min="4" max="5" width="14" style="3" customWidth="1"/>
    <col min="6" max="6" width="12.625" style="3" customWidth="1"/>
    <col min="7" max="7" width="11.75" style="3" customWidth="1"/>
    <col min="8" max="9" width="9" style="3" customWidth="1"/>
    <col min="10" max="10" width="11.625" style="3" customWidth="1"/>
    <col min="11" max="11" width="10.625" style="3" customWidth="1"/>
    <col min="12" max="14" width="9" style="3" customWidth="1"/>
    <col min="15" max="15" width="9.5" style="3" bestFit="1" customWidth="1"/>
    <col min="16" max="16" width="9" style="3" customWidth="1"/>
    <col min="17" max="17" width="3.125" style="3" customWidth="1"/>
    <col min="18" max="16384" width="9" style="3" hidden="1"/>
  </cols>
  <sheetData>
    <row r="1" spans="2:16">
      <c r="F1" s="32"/>
    </row>
    <row r="2" spans="2:16" ht="20.25" customHeight="1">
      <c r="B2" s="299" t="s">
        <v>883</v>
      </c>
      <c r="C2" s="299"/>
      <c r="D2" s="299"/>
      <c r="E2" s="299"/>
      <c r="F2" s="299"/>
      <c r="G2" s="4"/>
    </row>
    <row r="3" spans="2:16" ht="17.25">
      <c r="B3" s="33" t="s">
        <v>687</v>
      </c>
      <c r="C3" s="34"/>
      <c r="D3" s="143" t="s">
        <v>688</v>
      </c>
      <c r="E3" s="34"/>
      <c r="F3" s="36"/>
      <c r="G3" s="37"/>
      <c r="H3" s="38"/>
      <c r="I3" s="39" t="s">
        <v>800</v>
      </c>
      <c r="J3" s="38"/>
      <c r="K3" s="38"/>
      <c r="L3" s="38"/>
      <c r="M3" s="38"/>
      <c r="N3" s="38"/>
      <c r="O3" s="38"/>
      <c r="P3" s="38"/>
    </row>
    <row r="4" spans="2:16" ht="17.25">
      <c r="B4" s="40" t="s">
        <v>370</v>
      </c>
      <c r="C4" s="40" t="s">
        <v>556</v>
      </c>
      <c r="D4" s="41" t="s">
        <v>25</v>
      </c>
      <c r="E4" s="41" t="s">
        <v>854</v>
      </c>
      <c r="F4" s="41" t="s">
        <v>855</v>
      </c>
      <c r="G4" s="37"/>
      <c r="H4" s="42"/>
      <c r="I4" s="300" t="s">
        <v>6</v>
      </c>
      <c r="J4" s="300"/>
      <c r="K4" s="300"/>
      <c r="L4" s="300"/>
      <c r="M4" s="300"/>
      <c r="N4" s="300"/>
      <c r="O4" s="300"/>
      <c r="P4" s="300"/>
    </row>
    <row r="5" spans="2:16" ht="16.5" customHeight="1">
      <c r="B5" s="43" t="s">
        <v>20</v>
      </c>
      <c r="C5" s="187" t="s">
        <v>686</v>
      </c>
      <c r="D5" s="190">
        <v>1380</v>
      </c>
      <c r="E5" s="77">
        <v>0.65200000000000002</v>
      </c>
      <c r="F5" s="46">
        <f>D5*E5</f>
        <v>899.76</v>
      </c>
      <c r="G5" s="47" t="s">
        <v>40</v>
      </c>
      <c r="H5" s="301" t="s">
        <v>799</v>
      </c>
      <c r="I5" s="48"/>
      <c r="J5" s="49">
        <f>0.7*$D$5</f>
        <v>965.99999999999989</v>
      </c>
      <c r="K5" s="49">
        <f>0.8*$D$5</f>
        <v>1104</v>
      </c>
      <c r="L5" s="49">
        <f>0.9*$D$5</f>
        <v>1242</v>
      </c>
      <c r="M5" s="50">
        <f>1*$D$5</f>
        <v>1380</v>
      </c>
      <c r="N5" s="49">
        <f>1.1*$D$5</f>
        <v>1518.0000000000002</v>
      </c>
      <c r="O5" s="49">
        <f>1.2*$D$5</f>
        <v>1656</v>
      </c>
      <c r="P5" s="51">
        <f>1.3*$D$5</f>
        <v>1794</v>
      </c>
    </row>
    <row r="6" spans="2:16" ht="17.25">
      <c r="B6" s="43" t="s">
        <v>22</v>
      </c>
      <c r="C6" s="52"/>
      <c r="D6" s="53"/>
      <c r="E6" s="58"/>
      <c r="F6" s="46">
        <f>D6*E6</f>
        <v>0</v>
      </c>
      <c r="G6" s="54"/>
      <c r="H6" s="301"/>
      <c r="I6" s="55">
        <f>0.7*$E$5</f>
        <v>0.45639999999999997</v>
      </c>
      <c r="J6" s="56">
        <f t="shared" ref="J6:P12" si="0">(J$5*($I6-$E$9)+SUM($F$6:$F$8)-((J$5*($I6-$E$9)+SUM($F$6:$F$8))/$F$10*$F$38)-SUM($F$13:$F$14,$F$20,$F$25,$F$26:$F$31,$F$33:$F$34,$F$39))</f>
        <v>-428.58253188487248</v>
      </c>
      <c r="K6" s="56">
        <f t="shared" si="0"/>
        <v>-380.3829958848724</v>
      </c>
      <c r="L6" s="56">
        <f t="shared" si="0"/>
        <v>-332.18345988487238</v>
      </c>
      <c r="M6" s="56">
        <f t="shared" si="0"/>
        <v>-283.98392388487241</v>
      </c>
      <c r="N6" s="56">
        <f t="shared" si="0"/>
        <v>-235.78438788487244</v>
      </c>
      <c r="O6" s="56">
        <f t="shared" si="0"/>
        <v>-187.58485188487248</v>
      </c>
      <c r="P6" s="56">
        <f t="shared" si="0"/>
        <v>-139.3853158848724</v>
      </c>
    </row>
    <row r="7" spans="2:16" ht="17.25">
      <c r="B7" s="57" t="s">
        <v>23</v>
      </c>
      <c r="C7" s="34"/>
      <c r="D7" s="57"/>
      <c r="E7" s="34"/>
      <c r="F7" s="58">
        <v>115</v>
      </c>
      <c r="G7" s="54"/>
      <c r="H7" s="301"/>
      <c r="I7" s="55">
        <f>0.8*$E$5</f>
        <v>0.52160000000000006</v>
      </c>
      <c r="J7" s="56">
        <f t="shared" si="0"/>
        <v>-366.85899588487229</v>
      </c>
      <c r="K7" s="56">
        <f t="shared" si="0"/>
        <v>-309.8418118848723</v>
      </c>
      <c r="L7" s="56">
        <f t="shared" si="0"/>
        <v>-252.82462788487226</v>
      </c>
      <c r="M7" s="56">
        <f t="shared" si="0"/>
        <v>-195.80744388487221</v>
      </c>
      <c r="N7" s="56">
        <f t="shared" si="0"/>
        <v>-138.79025988487217</v>
      </c>
      <c r="O7" s="56">
        <f t="shared" si="0"/>
        <v>-81.773075884872128</v>
      </c>
      <c r="P7" s="56">
        <f t="shared" si="0"/>
        <v>-24.755891884872199</v>
      </c>
    </row>
    <row r="8" spans="2:16" ht="17.25">
      <c r="B8" s="57" t="s">
        <v>24</v>
      </c>
      <c r="C8" s="34"/>
      <c r="D8" s="57"/>
      <c r="E8" s="34"/>
      <c r="F8" s="58">
        <v>0</v>
      </c>
      <c r="G8" s="54"/>
      <c r="H8" s="301"/>
      <c r="I8" s="55">
        <f>0.9*$E$5</f>
        <v>0.58679999999999999</v>
      </c>
      <c r="J8" s="56">
        <f t="shared" si="0"/>
        <v>-305.13545988487238</v>
      </c>
      <c r="K8" s="56">
        <f t="shared" si="0"/>
        <v>-239.30062788487237</v>
      </c>
      <c r="L8" s="56">
        <f t="shared" si="0"/>
        <v>-173.46579588487236</v>
      </c>
      <c r="M8" s="56">
        <f t="shared" si="0"/>
        <v>-107.63096388487236</v>
      </c>
      <c r="N8" s="56">
        <f t="shared" si="0"/>
        <v>-41.796131884872239</v>
      </c>
      <c r="O8" s="56">
        <f t="shared" si="0"/>
        <v>24.038700115127654</v>
      </c>
      <c r="P8" s="56">
        <f t="shared" si="0"/>
        <v>89.873532115127659</v>
      </c>
    </row>
    <row r="9" spans="2:16" ht="17.25">
      <c r="B9" s="73" t="s">
        <v>701</v>
      </c>
      <c r="C9" s="84" t="s">
        <v>686</v>
      </c>
      <c r="D9" s="189">
        <f>D5</f>
        <v>1380</v>
      </c>
      <c r="E9" s="77">
        <v>0.1</v>
      </c>
      <c r="F9" s="186">
        <f>-D9*E9</f>
        <v>-138</v>
      </c>
      <c r="G9" s="54"/>
      <c r="H9" s="301"/>
      <c r="I9" s="64">
        <f>1*$E$5</f>
        <v>0.65200000000000002</v>
      </c>
      <c r="J9" s="56">
        <f t="shared" si="0"/>
        <v>-243.41192388487241</v>
      </c>
      <c r="K9" s="56">
        <f t="shared" si="0"/>
        <v>-168.75944388487233</v>
      </c>
      <c r="L9" s="56">
        <f t="shared" si="0"/>
        <v>-94.106963884872243</v>
      </c>
      <c r="M9" s="65">
        <f>(M$5*($I9-$E$9)+SUM($F$6:$F$8)-((M$5*($I9-$E$9)+SUM($F$6:$F$8))/$F$10*$F$38)-SUM($F$13:$F$14,$F$20,$F$25,$F$26:$F$31,$F$33:$F$34,$F$39))</f>
        <v>-19.454483884872275</v>
      </c>
      <c r="N9" s="56">
        <f t="shared" si="0"/>
        <v>55.197996115127808</v>
      </c>
      <c r="O9" s="56">
        <f t="shared" si="0"/>
        <v>129.85047611512778</v>
      </c>
      <c r="P9" s="56">
        <f t="shared" si="0"/>
        <v>204.50295611512774</v>
      </c>
    </row>
    <row r="10" spans="2:16" ht="17.25">
      <c r="B10" s="60" t="s">
        <v>373</v>
      </c>
      <c r="C10" s="34"/>
      <c r="D10" s="61"/>
      <c r="E10" s="61"/>
      <c r="F10" s="62">
        <f>SUM(F5:F9)</f>
        <v>876.76</v>
      </c>
      <c r="G10" s="63"/>
      <c r="H10" s="301"/>
      <c r="I10" s="55">
        <f>1.1*$E$5</f>
        <v>0.71720000000000006</v>
      </c>
      <c r="J10" s="56">
        <f t="shared" si="0"/>
        <v>-181.68838788487233</v>
      </c>
      <c r="K10" s="56">
        <f t="shared" si="0"/>
        <v>-98.218259884872282</v>
      </c>
      <c r="L10" s="56">
        <f t="shared" si="0"/>
        <v>-14.748131884872237</v>
      </c>
      <c r="M10" s="56">
        <f t="shared" si="0"/>
        <v>68.721996115127695</v>
      </c>
      <c r="N10" s="56">
        <f t="shared" si="0"/>
        <v>152.19212411512808</v>
      </c>
      <c r="O10" s="56">
        <f t="shared" si="0"/>
        <v>235.66225211512779</v>
      </c>
      <c r="P10" s="56">
        <f t="shared" si="0"/>
        <v>319.13238011512772</v>
      </c>
    </row>
    <row r="11" spans="2:16" ht="17.25">
      <c r="B11" s="60"/>
      <c r="C11" s="34"/>
      <c r="D11" s="61"/>
      <c r="E11" s="61"/>
      <c r="F11" s="66"/>
      <c r="G11" s="63"/>
      <c r="H11" s="301"/>
      <c r="I11" s="55">
        <f>1.2*$E$5</f>
        <v>0.78239999999999998</v>
      </c>
      <c r="J11" s="56">
        <f t="shared" si="0"/>
        <v>-119.96485188487247</v>
      </c>
      <c r="K11" s="56">
        <f t="shared" si="0"/>
        <v>-27.677075884872352</v>
      </c>
      <c r="L11" s="56">
        <f t="shared" si="0"/>
        <v>64.610700115127656</v>
      </c>
      <c r="M11" s="56">
        <f t="shared" si="0"/>
        <v>156.89847611512755</v>
      </c>
      <c r="N11" s="56">
        <f t="shared" si="0"/>
        <v>249.1862521151279</v>
      </c>
      <c r="O11" s="56">
        <f t="shared" si="0"/>
        <v>341.47402811512757</v>
      </c>
      <c r="P11" s="56">
        <f t="shared" si="0"/>
        <v>433.76180411512769</v>
      </c>
    </row>
    <row r="12" spans="2:16" ht="17.25">
      <c r="B12" s="67" t="s">
        <v>856</v>
      </c>
      <c r="C12" s="40" t="s">
        <v>556</v>
      </c>
      <c r="D12" s="41" t="s">
        <v>25</v>
      </c>
      <c r="E12" s="41" t="s">
        <v>854</v>
      </c>
      <c r="F12" s="41" t="s">
        <v>855</v>
      </c>
      <c r="G12" s="63"/>
      <c r="H12" s="301"/>
      <c r="I12" s="70">
        <f>1.3*$E$5</f>
        <v>0.84760000000000002</v>
      </c>
      <c r="J12" s="56">
        <f t="shared" si="0"/>
        <v>-58.241315884872392</v>
      </c>
      <c r="K12" s="56">
        <f t="shared" si="0"/>
        <v>42.864108115127692</v>
      </c>
      <c r="L12" s="56">
        <f t="shared" si="0"/>
        <v>143.96953211512778</v>
      </c>
      <c r="M12" s="56">
        <f t="shared" si="0"/>
        <v>245.07495611512786</v>
      </c>
      <c r="N12" s="56">
        <f t="shared" si="0"/>
        <v>346.18038011512795</v>
      </c>
      <c r="O12" s="56">
        <f t="shared" si="0"/>
        <v>447.2858041151278</v>
      </c>
      <c r="P12" s="56">
        <f t="shared" si="0"/>
        <v>548.39122811512766</v>
      </c>
    </row>
    <row r="13" spans="2:16">
      <c r="B13" s="57" t="s">
        <v>14</v>
      </c>
      <c r="C13" s="7" t="s">
        <v>857</v>
      </c>
      <c r="D13" s="68">
        <v>42000</v>
      </c>
      <c r="E13" s="69">
        <v>465</v>
      </c>
      <c r="F13" s="46">
        <f>E13*D13/H16</f>
        <v>84.913043478260875</v>
      </c>
      <c r="G13" s="63"/>
      <c r="H13" s="72"/>
    </row>
    <row r="14" spans="2:16">
      <c r="B14" s="57" t="s">
        <v>26</v>
      </c>
      <c r="C14" s="7"/>
      <c r="D14" s="34"/>
      <c r="E14" s="71"/>
      <c r="F14" s="46">
        <f>SUMPRODUCT(D15:D19,E15:E19)+F18</f>
        <v>177.7</v>
      </c>
      <c r="G14" s="63"/>
      <c r="H14" s="72"/>
    </row>
    <row r="15" spans="2:16">
      <c r="B15" s="73" t="s">
        <v>27</v>
      </c>
      <c r="C15" s="7" t="s">
        <v>686</v>
      </c>
      <c r="D15" s="45">
        <v>100</v>
      </c>
      <c r="E15" s="71">
        <f>'Input prices'!D4</f>
        <v>0.7</v>
      </c>
      <c r="F15" s="46"/>
      <c r="G15" s="63"/>
      <c r="H15" s="74" t="s">
        <v>858</v>
      </c>
      <c r="I15"/>
      <c r="J15" s="75"/>
    </row>
    <row r="16" spans="2:16">
      <c r="B16" s="73" t="s">
        <v>28</v>
      </c>
      <c r="C16" s="7" t="s">
        <v>686</v>
      </c>
      <c r="D16" s="45">
        <v>80</v>
      </c>
      <c r="E16" s="71">
        <f>'Input prices'!D5</f>
        <v>0.73</v>
      </c>
      <c r="F16" s="46"/>
      <c r="G16" s="63"/>
      <c r="H16" s="74">
        <v>230000</v>
      </c>
      <c r="I16"/>
      <c r="K16" s="76"/>
    </row>
    <row r="17" spans="2:11">
      <c r="B17" s="73" t="s">
        <v>8</v>
      </c>
      <c r="C17" s="7" t="s">
        <v>686</v>
      </c>
      <c r="D17" s="45">
        <v>60</v>
      </c>
      <c r="E17" s="71">
        <f>'Input prices'!D6</f>
        <v>0.42</v>
      </c>
      <c r="F17" s="46"/>
      <c r="G17" s="63"/>
      <c r="H17" s="72"/>
      <c r="I17" s="1"/>
      <c r="K17" s="76"/>
    </row>
    <row r="18" spans="2:11">
      <c r="B18" s="73" t="s">
        <v>690</v>
      </c>
      <c r="C18" s="7"/>
      <c r="D18" s="34"/>
      <c r="E18" s="71"/>
      <c r="F18" s="77">
        <v>6.6</v>
      </c>
      <c r="G18" s="63"/>
      <c r="H18" s="72"/>
      <c r="I18" s="9"/>
      <c r="K18" s="79"/>
    </row>
    <row r="19" spans="2:11">
      <c r="B19" s="73" t="s">
        <v>9</v>
      </c>
      <c r="C19" s="7" t="s">
        <v>859</v>
      </c>
      <c r="D19" s="45">
        <v>0.5</v>
      </c>
      <c r="E19" s="71">
        <f>'Input prices'!D7</f>
        <v>35</v>
      </c>
      <c r="F19" s="78"/>
      <c r="G19" s="63"/>
      <c r="H19" s="72"/>
      <c r="I19" s="9"/>
      <c r="K19" s="79"/>
    </row>
    <row r="20" spans="2:11">
      <c r="B20" s="57" t="s">
        <v>29</v>
      </c>
      <c r="C20" s="7"/>
      <c r="D20" s="34"/>
      <c r="E20" s="71"/>
      <c r="F20" s="46">
        <f>SUMPRODUCT(D21:D24,E21:E24)</f>
        <v>207</v>
      </c>
      <c r="G20" s="37"/>
      <c r="H20" s="72"/>
      <c r="I20" s="9"/>
      <c r="K20" s="79"/>
    </row>
    <row r="21" spans="2:11">
      <c r="B21" s="73" t="s">
        <v>15</v>
      </c>
      <c r="C21" s="7" t="s">
        <v>860</v>
      </c>
      <c r="D21" s="45">
        <v>3</v>
      </c>
      <c r="E21" s="69">
        <v>35</v>
      </c>
      <c r="F21" s="46"/>
      <c r="G21" s="37"/>
      <c r="H21" s="72"/>
      <c r="I21" s="9"/>
      <c r="K21" s="79"/>
    </row>
    <row r="22" spans="2:11">
      <c r="B22" s="73" t="s">
        <v>691</v>
      </c>
      <c r="C22" s="7" t="s">
        <v>860</v>
      </c>
      <c r="D22" s="45">
        <v>4</v>
      </c>
      <c r="E22" s="69">
        <v>21</v>
      </c>
      <c r="F22" s="46"/>
      <c r="G22" s="37"/>
      <c r="H22" s="72"/>
      <c r="I22" s="9"/>
      <c r="K22" s="79"/>
    </row>
    <row r="23" spans="2:11">
      <c r="B23" s="73" t="s">
        <v>692</v>
      </c>
      <c r="C23" s="7" t="s">
        <v>860</v>
      </c>
      <c r="D23" s="45">
        <v>0</v>
      </c>
      <c r="E23" s="69">
        <v>0</v>
      </c>
      <c r="F23" s="46"/>
      <c r="G23" s="63"/>
      <c r="H23" s="72"/>
      <c r="I23" s="9"/>
      <c r="K23" s="79"/>
    </row>
    <row r="24" spans="2:11">
      <c r="B24" s="73" t="s">
        <v>879</v>
      </c>
      <c r="C24" s="7" t="s">
        <v>860</v>
      </c>
      <c r="D24" s="45">
        <v>2</v>
      </c>
      <c r="E24" s="69">
        <v>9</v>
      </c>
      <c r="F24" s="46"/>
      <c r="G24" s="63"/>
      <c r="H24" s="72"/>
      <c r="I24" s="9"/>
      <c r="K24" s="80"/>
    </row>
    <row r="25" spans="2:11">
      <c r="B25" s="57" t="s">
        <v>359</v>
      </c>
      <c r="C25" s="7" t="s">
        <v>861</v>
      </c>
      <c r="D25" s="45">
        <v>12</v>
      </c>
      <c r="E25" s="71">
        <f>IFERROR(HLOOKUP($D$3,'Irrigation costs'!$D$2:$F$17,15,FALSE),0)</f>
        <v>2.3899999999999997</v>
      </c>
      <c r="F25" s="46">
        <f>D25*E25</f>
        <v>28.679999999999996</v>
      </c>
      <c r="G25" s="63"/>
      <c r="H25" s="72"/>
      <c r="I25" s="9"/>
      <c r="K25" s="79"/>
    </row>
    <row r="26" spans="2:11">
      <c r="B26" s="57" t="s">
        <v>30</v>
      </c>
      <c r="C26" s="7"/>
      <c r="D26" s="34"/>
      <c r="E26" s="71"/>
      <c r="F26" s="58">
        <v>8.5</v>
      </c>
      <c r="G26" s="63"/>
      <c r="H26" s="72"/>
      <c r="I26" s="9"/>
      <c r="K26" s="82"/>
    </row>
    <row r="27" spans="2:11">
      <c r="B27" s="57" t="s">
        <v>31</v>
      </c>
      <c r="C27" s="7"/>
      <c r="D27" s="34"/>
      <c r="E27" s="71"/>
      <c r="F27" s="58">
        <v>34</v>
      </c>
      <c r="G27" s="63"/>
      <c r="H27" s="72"/>
      <c r="I27" s="9"/>
      <c r="K27" s="82"/>
    </row>
    <row r="28" spans="2:11">
      <c r="B28" s="57" t="s">
        <v>32</v>
      </c>
      <c r="C28" s="7" t="s">
        <v>654</v>
      </c>
      <c r="D28" s="34"/>
      <c r="E28" s="71"/>
      <c r="F28" s="83">
        <f>G58</f>
        <v>52.542000000000002</v>
      </c>
      <c r="G28" s="63"/>
      <c r="H28" s="72"/>
      <c r="I28" s="9"/>
      <c r="K28" s="82"/>
    </row>
    <row r="29" spans="2:11">
      <c r="B29" s="57" t="s">
        <v>808</v>
      </c>
      <c r="C29" s="7" t="s">
        <v>863</v>
      </c>
      <c r="D29" s="34">
        <f>F74</f>
        <v>0.7348059640522876</v>
      </c>
      <c r="E29" s="71">
        <f>'Input prices'!D8</f>
        <v>22.5</v>
      </c>
      <c r="F29" s="83">
        <f>E29*D29</f>
        <v>16.533134191176472</v>
      </c>
      <c r="G29" s="63"/>
      <c r="H29" s="72"/>
      <c r="I29" s="9"/>
      <c r="K29" s="76"/>
    </row>
    <row r="30" spans="2:11">
      <c r="B30" s="57" t="s">
        <v>702</v>
      </c>
      <c r="C30" s="7" t="s">
        <v>864</v>
      </c>
      <c r="D30" s="34">
        <f>E74</f>
        <v>8.3737072712418303</v>
      </c>
      <c r="E30" s="71">
        <f>'Input prices'!D9</f>
        <v>2.9</v>
      </c>
      <c r="F30" s="83">
        <f>D30*E30</f>
        <v>24.283751086601306</v>
      </c>
      <c r="G30" s="63"/>
      <c r="H30" s="72"/>
      <c r="I30" s="9"/>
      <c r="K30" s="86"/>
    </row>
    <row r="31" spans="2:11">
      <c r="B31" s="57" t="s">
        <v>33</v>
      </c>
      <c r="C31" s="84" t="s">
        <v>654</v>
      </c>
      <c r="D31" s="85"/>
      <c r="E31" s="34"/>
      <c r="F31" s="83">
        <f>G74-F30-F29</f>
        <v>81.124175954667592</v>
      </c>
      <c r="G31" s="63"/>
      <c r="H31" s="72"/>
      <c r="I31" s="9"/>
      <c r="K31" s="87"/>
    </row>
    <row r="32" spans="2:11">
      <c r="B32" s="57" t="s">
        <v>366</v>
      </c>
      <c r="C32" s="84" t="s">
        <v>865</v>
      </c>
      <c r="D32" s="197">
        <v>0.03</v>
      </c>
      <c r="E32" s="34"/>
      <c r="F32" s="83">
        <f>F10*D32</f>
        <v>26.302799999999998</v>
      </c>
      <c r="G32" s="63"/>
      <c r="H32" s="72"/>
    </row>
    <row r="33" spans="2:8">
      <c r="B33" s="57" t="s">
        <v>34</v>
      </c>
      <c r="C33" s="7" t="s">
        <v>654</v>
      </c>
      <c r="D33" s="85"/>
      <c r="E33" s="34"/>
      <c r="F33" s="58">
        <v>0</v>
      </c>
      <c r="G33" s="63"/>
      <c r="H33" s="72"/>
    </row>
    <row r="34" spans="2:8">
      <c r="B34" s="57" t="s">
        <v>11</v>
      </c>
      <c r="C34" s="84" t="s">
        <v>866</v>
      </c>
      <c r="D34" s="88">
        <f>SUM(F13:F14,F20,F26:F33)/2</f>
        <v>356.44945235535317</v>
      </c>
      <c r="E34" s="89">
        <f>'Input prices'!D10</f>
        <v>7.2499999999999995E-2</v>
      </c>
      <c r="F34" s="90">
        <f>E34*D34</f>
        <v>25.842585295763104</v>
      </c>
      <c r="G34" s="91"/>
      <c r="H34" s="72"/>
    </row>
    <row r="35" spans="2:8">
      <c r="B35" s="60" t="s">
        <v>372</v>
      </c>
      <c r="C35" s="92"/>
      <c r="D35" s="61"/>
      <c r="E35" s="34"/>
      <c r="F35" s="62">
        <f>SUM(F13:F14,F20,F25:F34)</f>
        <v>767.42149000646953</v>
      </c>
      <c r="G35" s="63"/>
      <c r="H35" s="72"/>
    </row>
    <row r="36" spans="2:8">
      <c r="B36" s="36"/>
      <c r="C36" s="92"/>
      <c r="D36" s="61"/>
      <c r="E36" s="34"/>
      <c r="F36" s="36"/>
      <c r="G36" s="63"/>
      <c r="H36" s="72"/>
    </row>
    <row r="37" spans="2:8" ht="17.25">
      <c r="B37" s="67" t="s">
        <v>867</v>
      </c>
      <c r="C37" s="40" t="s">
        <v>556</v>
      </c>
      <c r="D37" s="41" t="s">
        <v>25</v>
      </c>
      <c r="E37" s="41" t="s">
        <v>854</v>
      </c>
      <c r="F37" s="41" t="s">
        <v>855</v>
      </c>
      <c r="G37" s="63"/>
      <c r="H37" s="72"/>
    </row>
    <row r="38" spans="2:8">
      <c r="B38" s="57" t="s">
        <v>18</v>
      </c>
      <c r="C38" s="84" t="s">
        <v>865</v>
      </c>
      <c r="D38" s="197">
        <v>0.02</v>
      </c>
      <c r="E38" s="34"/>
      <c r="F38" s="46">
        <f>D38*F10</f>
        <v>17.5352</v>
      </c>
      <c r="G38" s="63"/>
      <c r="H38" s="72"/>
    </row>
    <row r="39" spans="2:8">
      <c r="B39" s="57" t="s">
        <v>376</v>
      </c>
      <c r="C39" s="84" t="s">
        <v>654</v>
      </c>
      <c r="D39" s="61"/>
      <c r="E39" s="34"/>
      <c r="F39" s="46">
        <f>H74+HLOOKUP(D3,'Irrigation costs'!$D$2:$G$17,14, FALSE)</f>
        <v>137.56059387840284</v>
      </c>
      <c r="G39" s="63"/>
      <c r="H39" s="72"/>
    </row>
    <row r="40" spans="2:8">
      <c r="B40" s="57" t="s">
        <v>35</v>
      </c>
      <c r="C40" s="84" t="s">
        <v>654</v>
      </c>
      <c r="D40" s="61"/>
      <c r="E40" s="34"/>
      <c r="F40" s="93">
        <v>225</v>
      </c>
      <c r="G40" s="91"/>
      <c r="H40" s="72"/>
    </row>
    <row r="41" spans="2:8">
      <c r="B41" s="60" t="s">
        <v>868</v>
      </c>
      <c r="C41" s="92"/>
      <c r="D41" s="61"/>
      <c r="E41" s="34"/>
      <c r="F41" s="62">
        <f>SUM(F38:F40)</f>
        <v>380.09579387840284</v>
      </c>
      <c r="G41" s="63"/>
      <c r="H41" s="72"/>
    </row>
    <row r="42" spans="2:8" ht="15" customHeight="1">
      <c r="B42" s="36"/>
      <c r="C42" s="34"/>
      <c r="D42" s="61"/>
      <c r="E42" s="34"/>
      <c r="F42" s="46"/>
      <c r="G42" s="91"/>
      <c r="H42" s="72"/>
    </row>
    <row r="43" spans="2:8">
      <c r="B43" s="60" t="s">
        <v>375</v>
      </c>
      <c r="C43" s="34"/>
      <c r="D43" s="61"/>
      <c r="E43" s="61"/>
      <c r="F43" s="62">
        <f>F35+F41</f>
        <v>1147.5172838848723</v>
      </c>
      <c r="G43" s="37"/>
      <c r="H43" s="72"/>
    </row>
    <row r="44" spans="2:8">
      <c r="B44" s="94"/>
      <c r="C44" s="95"/>
      <c r="D44" s="96"/>
      <c r="E44" s="95"/>
      <c r="F44" s="97"/>
      <c r="G44" s="63"/>
      <c r="H44" s="72"/>
    </row>
    <row r="45" spans="2:8">
      <c r="B45" s="98" t="s">
        <v>367</v>
      </c>
      <c r="C45" s="34"/>
      <c r="D45" s="61"/>
      <c r="E45" s="34"/>
      <c r="F45" s="62">
        <f>F10-F35</f>
        <v>109.33850999353047</v>
      </c>
      <c r="G45" s="63"/>
      <c r="H45" s="72"/>
    </row>
    <row r="46" spans="2:8">
      <c r="B46" s="98" t="s">
        <v>368</v>
      </c>
      <c r="C46" s="34"/>
      <c r="D46" s="61"/>
      <c r="E46" s="34"/>
      <c r="F46" s="62">
        <f>F10-F43</f>
        <v>-270.75728388487232</v>
      </c>
      <c r="G46" s="37"/>
      <c r="H46" s="72"/>
    </row>
    <row r="47" spans="2:8">
      <c r="B47" s="99" t="s">
        <v>369</v>
      </c>
      <c r="C47" s="100"/>
      <c r="D47" s="101"/>
      <c r="E47" s="100"/>
      <c r="F47" s="102">
        <f>F10-F43+F40+F32</f>
        <v>-19.454483884872324</v>
      </c>
      <c r="G47" s="63"/>
      <c r="H47" s="72"/>
    </row>
    <row r="48" spans="2:8">
      <c r="B48" s="36"/>
      <c r="C48" s="34"/>
      <c r="D48" s="34" t="s">
        <v>757</v>
      </c>
      <c r="E48" s="34"/>
      <c r="F48" s="46">
        <f>F35/D5</f>
        <v>0.5561025289901953</v>
      </c>
      <c r="G48" s="63"/>
      <c r="H48" s="72"/>
    </row>
    <row r="49" spans="1:9">
      <c r="B49" s="36"/>
      <c r="C49" s="34"/>
      <c r="D49" s="34" t="s">
        <v>758</v>
      </c>
      <c r="E49" s="34"/>
      <c r="F49" s="46">
        <f>F41/D5</f>
        <v>0.27543173469449483</v>
      </c>
      <c r="G49" s="63"/>
      <c r="H49" s="72"/>
    </row>
    <row r="50" spans="1:9">
      <c r="B50" s="103"/>
      <c r="C50" s="100"/>
      <c r="D50" s="100" t="s">
        <v>759</v>
      </c>
      <c r="E50" s="100"/>
      <c r="F50" s="90">
        <f>F43/D5</f>
        <v>0.83153426368469008</v>
      </c>
      <c r="G50" s="63"/>
      <c r="H50" s="72"/>
    </row>
    <row r="51" spans="1:9">
      <c r="B51" s="37"/>
      <c r="C51" s="63"/>
      <c r="D51" s="104"/>
      <c r="E51" s="63"/>
      <c r="F51" s="37"/>
      <c r="G51" s="63"/>
      <c r="H51" s="72"/>
    </row>
    <row r="52" spans="1:9">
      <c r="B52" s="302" t="s">
        <v>869</v>
      </c>
      <c r="C52" s="302"/>
      <c r="D52" s="302"/>
      <c r="E52" s="302"/>
      <c r="F52" s="302"/>
      <c r="G52" s="106"/>
      <c r="H52" s="72"/>
    </row>
    <row r="53" spans="1:9">
      <c r="B53" s="107" t="s">
        <v>560</v>
      </c>
      <c r="C53" s="108" t="s">
        <v>561</v>
      </c>
      <c r="D53" s="108" t="s">
        <v>556</v>
      </c>
      <c r="E53" s="108" t="s">
        <v>754</v>
      </c>
      <c r="F53" s="108" t="s">
        <v>10</v>
      </c>
      <c r="G53" s="109" t="s">
        <v>698</v>
      </c>
      <c r="H53" s="72"/>
    </row>
    <row r="54" spans="1:9">
      <c r="B54" s="110" t="s">
        <v>563</v>
      </c>
      <c r="C54" s="111">
        <f>IF(ISBLANK($B54),"",VLOOKUP($B54,'Machinery Input Tables'!$C$133:$F$184,2,FALSE))</f>
        <v>7.3709999999999996</v>
      </c>
      <c r="D54" s="111" t="str">
        <f>IF(ISBLANK($B54),"",VLOOKUP($B54,'Machinery Input Tables'!$C$133:$F$184,3,FALSE))</f>
        <v>per acre</v>
      </c>
      <c r="E54" s="112"/>
      <c r="F54" s="110">
        <v>2</v>
      </c>
      <c r="G54" s="113">
        <f>IFERROR(C54*F54*IF(D54="per acre",1,E54),"-")</f>
        <v>14.741999999999999</v>
      </c>
      <c r="H54" s="72"/>
    </row>
    <row r="55" spans="1:9">
      <c r="B55" s="110" t="s">
        <v>700</v>
      </c>
      <c r="C55" s="111">
        <f>IF(ISBLANK($B55),"",VLOOKUP($B55,'Machinery Input Tables'!$C$133:$F$184,2,FALSE))</f>
        <v>12.600000000000001</v>
      </c>
      <c r="D55" s="111" t="str">
        <f>IF(ISBLANK($B55),"",VLOOKUP($B55,'Machinery Input Tables'!$C$133:$F$184,3,FALSE))</f>
        <v>per acre</v>
      </c>
      <c r="E55" s="112"/>
      <c r="F55" s="110">
        <v>3</v>
      </c>
      <c r="G55" s="113">
        <f t="shared" ref="G55:G57" si="1">IFERROR(C55*F55*IF(D55="per acre",1,E55),"-")</f>
        <v>37.800000000000004</v>
      </c>
      <c r="H55" s="72"/>
    </row>
    <row r="56" spans="1:9">
      <c r="B56" s="114"/>
      <c r="C56" s="111" t="str">
        <f>IF(ISBLANK($B56),"",VLOOKUP($B56,'Machinery Input Tables'!$C$133:$F$184,2,FALSE))</f>
        <v/>
      </c>
      <c r="D56" s="111" t="str">
        <f>IF(ISBLANK($B56),"",VLOOKUP($B56,'Machinery Input Tables'!$C$133:$F$184,3,FALSE))</f>
        <v/>
      </c>
      <c r="E56" s="114"/>
      <c r="F56" s="114"/>
      <c r="G56" s="113" t="str">
        <f t="shared" si="1"/>
        <v>-</v>
      </c>
      <c r="H56" s="72"/>
    </row>
    <row r="57" spans="1:9">
      <c r="B57" s="115"/>
      <c r="C57" s="116" t="str">
        <f>IF(ISBLANK($B57),"",VLOOKUP($B57,'Machinery Input Tables'!$C$133:$F$184,2,FALSE))</f>
        <v/>
      </c>
      <c r="D57" s="117" t="str">
        <f>IF(ISBLANK($B57),"",VLOOKUP($B57,'Machinery Input Tables'!$C$133:$F$184,3,FALSE))</f>
        <v/>
      </c>
      <c r="E57" s="115"/>
      <c r="F57" s="115"/>
      <c r="G57" s="118" t="str">
        <f t="shared" si="1"/>
        <v>-</v>
      </c>
      <c r="H57" s="72"/>
    </row>
    <row r="58" spans="1:9" s="6" customFormat="1" ht="17.25">
      <c r="A58" s="3"/>
      <c r="B58" s="119" t="s">
        <v>699</v>
      </c>
      <c r="C58" s="120"/>
      <c r="D58" s="119"/>
      <c r="E58" s="120"/>
      <c r="F58" s="120"/>
      <c r="G58" s="121">
        <f>SUM(G54:G57)</f>
        <v>52.542000000000002</v>
      </c>
      <c r="H58" s="72"/>
      <c r="I58" s="3"/>
    </row>
    <row r="59" spans="1:9" ht="17.25">
      <c r="A59" s="6"/>
      <c r="B59" s="105" t="s">
        <v>870</v>
      </c>
      <c r="C59" s="105"/>
      <c r="D59" s="105"/>
      <c r="E59" s="105"/>
      <c r="F59" s="105"/>
      <c r="G59" s="105"/>
      <c r="H59" s="105"/>
      <c r="I59" s="105"/>
    </row>
    <row r="60" spans="1:9">
      <c r="B60" s="303" t="s">
        <v>497</v>
      </c>
      <c r="C60" s="305" t="s">
        <v>498</v>
      </c>
      <c r="D60" s="123" t="s">
        <v>871</v>
      </c>
      <c r="E60" s="305" t="s">
        <v>499</v>
      </c>
      <c r="F60" s="305" t="s">
        <v>500</v>
      </c>
      <c r="G60" s="122" t="s">
        <v>501</v>
      </c>
      <c r="H60" s="122" t="s">
        <v>502</v>
      </c>
      <c r="I60" s="307" t="s">
        <v>503</v>
      </c>
    </row>
    <row r="61" spans="1:9">
      <c r="B61" s="304"/>
      <c r="C61" s="306"/>
      <c r="D61" s="125" t="s">
        <v>872</v>
      </c>
      <c r="E61" s="306"/>
      <c r="F61" s="306"/>
      <c r="G61" s="124" t="s">
        <v>516</v>
      </c>
      <c r="H61" s="124" t="s">
        <v>516</v>
      </c>
      <c r="I61" s="308"/>
    </row>
    <row r="62" spans="1:9">
      <c r="B62" s="126"/>
      <c r="C62" s="127" t="s">
        <v>873</v>
      </c>
      <c r="D62" s="128" t="s">
        <v>522</v>
      </c>
      <c r="E62" s="128" t="s">
        <v>519</v>
      </c>
      <c r="F62" s="128" t="s">
        <v>520</v>
      </c>
      <c r="G62" s="128" t="s">
        <v>521</v>
      </c>
      <c r="H62" s="128" t="s">
        <v>521</v>
      </c>
      <c r="I62" s="128" t="s">
        <v>523</v>
      </c>
    </row>
    <row r="63" spans="1:9">
      <c r="B63" s="129" t="s">
        <v>840</v>
      </c>
      <c r="C63" s="129" t="s">
        <v>649</v>
      </c>
      <c r="D63" s="130">
        <v>0.33</v>
      </c>
      <c r="E63" s="131">
        <f>IFERROR(IF(ISBLANK(C63),"",IF(OR(ISBLANK(B63),IFERROR(VLOOKUP(B63,'Machinery Input Tables'!$B$6:$AF$121,13,FALSE),"")='Machinery Input Tables'!$N$128),1,VLOOKUP(B63,'Machinery Input Tables'!$B$6:$AF$121,28,FALSE))*VLOOKUP(C63,'Machinery Input Tables'!$AH$6:$BA$32,19,FALSE))*D63,"-")</f>
        <v>0.39929999999999999</v>
      </c>
      <c r="F63" s="131">
        <f>IFERROR(IF(AND(ISBLANK(B63)*ISBLANK(C63)),"",IF(ISBLANK(B63),1,IF(VLOOKUP(B63,'Machinery Input Tables'!$B$6:$AF$121,13,FALSE)='Machinery Input Tables'!$N$128,VLOOKUP(B63,'Machinery Input Tables'!$B$6:$AF$121,17,FALSE),VLOOKUP(B63,'Machinery Input Tables'!$B$6:$AF$121,28,FALSE))))*D63,"-")</f>
        <v>2.6691176470588239E-2</v>
      </c>
      <c r="G63" s="132">
        <f>IFERROR(IF(ISBLANK(C63),"",E63*'Machinery Input Tables'!$BP$10*'Machinery Input Tables'!$BP$11+E63*'Machinery Input Tables'!$BP$10+F63*'Machinery Input Tables'!$BP$6+(VLOOKUP(C63,'Machinery Input Tables'!$AH$6:$BA$32,18,FALSE)*IF(IFERROR(VLOOKUP(B63,'Machinery Input Tables'!$B$6:$AF$121,13,FALSE)='Machinery Input Tables'!$N$128,1),1,VLOOKUP(B63,'Machinery Input Tables'!$B$6:$AF$121,28,FALSE))+IFERROR(VLOOKUP(B63,'Machinery Input Tables'!$B$6:$AF$121,27,FALSE),0))*D63),"-")</f>
        <v>2.7770485316784868</v>
      </c>
      <c r="H63" s="132">
        <f>IFERROR((IFERROR(VLOOKUP(B63,'Machinery Input Tables'!$B$6:$AF$121,24,FALSE),0)+VLOOKUP(C63,'Machinery Input Tables'!$AH$6:$BA$32,20,FALSE))*IF(IFERROR(VLOOKUP(B63,'Machinery Input Tables'!$B$6:$AF$121,13,FALSE)='Machinery Input Tables'!$N$128,1),1,VLOOKUP(B63,'Machinery Input Tables'!$B$6:$AF$121,28,FALSE))*D63,"-")</f>
        <v>3.8889997700285543</v>
      </c>
      <c r="I63" s="132">
        <f>IFERROR(IF(ISBLANK(AND(B63,C63)),"",SUM(G63:H63)),"-")</f>
        <v>6.6660483017070415</v>
      </c>
    </row>
    <row r="64" spans="1:9">
      <c r="B64" s="129" t="s">
        <v>851</v>
      </c>
      <c r="C64" s="129" t="s">
        <v>693</v>
      </c>
      <c r="D64" s="130">
        <v>1</v>
      </c>
      <c r="E64" s="131">
        <f>IFERROR(IF(ISBLANK(C64),"",IF(OR(ISBLANK(B64),IFERROR(VLOOKUP(B64,'Machinery Input Tables'!$B$6:$AF$121,13,FALSE),"")='Machinery Input Tables'!$N$128),1,VLOOKUP(B64,'Machinery Input Tables'!$B$6:$AF$121,28,FALSE))*VLOOKUP(C64,'Machinery Input Tables'!$AH$6:$BA$32,19,FALSE))*D64,"-")</f>
        <v>0.55359477124182999</v>
      </c>
      <c r="F64" s="131">
        <f>IFERROR(IF(AND(ISBLANK(B64)*ISBLANK(C64)),"",IF(ISBLANK(B64),1,IF(VLOOKUP(B64,'Machinery Input Tables'!$B$6:$AF$121,13,FALSE)='Machinery Input Tables'!$N$128,VLOOKUP(B64,'Machinery Input Tables'!$B$6:$AF$121,17,FALSE),VLOOKUP(B64,'Machinery Input Tables'!$B$6:$AF$121,28,FALSE))))*D64,"-")</f>
        <v>4.4934640522875817E-2</v>
      </c>
      <c r="G64" s="132">
        <f>IFERROR(IF(ISBLANK(C64),"",E64*'Machinery Input Tables'!$BP$10+F64*'Machinery Input Tables'!$BP$6+(VLOOKUP(C64,'Machinery Input Tables'!$AH$6:$BA$32,18,FALSE)*IF(IFERROR(VLOOKUP(B64,'Machinery Input Tables'!$B$6:$AF$121,13,FALSE)='Machinery Input Tables'!$N$128,1),1,VLOOKUP(B64,'Machinery Input Tables'!$B$6:$AF$121,28,FALSE))+IFERROR(VLOOKUP(B64,'Machinery Input Tables'!$B$6:$AF$121,27,FALSE),0))*D64),"-")</f>
        <v>4.1222646197663799</v>
      </c>
      <c r="H64" s="132">
        <f>IFERROR((IFERROR(VLOOKUP(B64,'Machinery Input Tables'!$B$6:$AF$121,24,FALSE),0)+VLOOKUP(C64,'Machinery Input Tables'!$AH$6:$BA$32,20,FALSE))*IF(IFERROR(VLOOKUP(B64,'Machinery Input Tables'!$B$6:$AF$121,13,FALSE)='Machinery Input Tables'!$N$128,1),1,VLOOKUP(B64,'Machinery Input Tables'!$B$6:$AF$121,28,FALSE))*D64,"-")</f>
        <v>5.040912069370183</v>
      </c>
      <c r="I64" s="132">
        <f t="shared" ref="I64:I73" si="2">IFERROR(IF(ISBLANK(AND(B64,C64)),"",SUM(G64:H64)),"-")</f>
        <v>9.1631766891365629</v>
      </c>
    </row>
    <row r="65" spans="2:9">
      <c r="B65" s="129" t="s">
        <v>845</v>
      </c>
      <c r="C65" s="129" t="s">
        <v>649</v>
      </c>
      <c r="D65" s="130">
        <v>1</v>
      </c>
      <c r="E65" s="131">
        <f>IFERROR(IF(ISBLANK(C65),"",IF(OR(ISBLANK(B65),IFERROR(VLOOKUP(B65,'Machinery Input Tables'!$B$6:$AF$121,13,FALSE),"")='Machinery Input Tables'!$N$128),1,VLOOKUP(B65,'Machinery Input Tables'!$B$6:$AF$121,28,FALSE))*VLOOKUP(C65,'Machinery Input Tables'!$AH$6:$BA$32,19,FALSE))*D65,"-")</f>
        <v>0.50416666666666676</v>
      </c>
      <c r="F65" s="131">
        <f>IFERROR(IF(AND(ISBLANK(B65)*ISBLANK(C65)),"",IF(ISBLANK(B65),1,IF(VLOOKUP(B65,'Machinery Input Tables'!$B$6:$AF$121,13,FALSE)='Machinery Input Tables'!$N$128,VLOOKUP(B65,'Machinery Input Tables'!$B$6:$AF$121,17,FALSE),VLOOKUP(B65,'Machinery Input Tables'!$B$6:$AF$121,28,FALSE))))*D65,"-")</f>
        <v>3.3700980392156868E-2</v>
      </c>
      <c r="G65" s="132">
        <f>IFERROR(IF(ISBLANK(C65),"",E65*'Machinery Input Tables'!$BP$10+F65*'Machinery Input Tables'!$BP$6+(VLOOKUP(C65,'Machinery Input Tables'!$AH$6:$BA$32,18,FALSE)*IF(IFERROR(VLOOKUP(B65,'Machinery Input Tables'!$B$6:$AF$121,13,FALSE)='Machinery Input Tables'!$N$128,1),1,VLOOKUP(B65,'Machinery Input Tables'!$B$6:$AF$121,28,FALSE))+IFERROR(VLOOKUP(B65,'Machinery Input Tables'!$B$6:$AF$121,27,FALSE),0))*D65),"-")</f>
        <v>3.5928773788927337</v>
      </c>
      <c r="H65" s="132">
        <f>IFERROR((IFERROR(VLOOKUP(B65,'Machinery Input Tables'!$B$6:$AF$121,24,FALSE),0)+VLOOKUP(C65,'Machinery Input Tables'!$AH$6:$BA$32,20,FALSE))*IF(IFERROR(VLOOKUP(B65,'Machinery Input Tables'!$B$6:$AF$121,13,FALSE)='Machinery Input Tables'!$N$128,1),1,VLOOKUP(B65,'Machinery Input Tables'!$B$6:$AF$121,28,FALSE))*D65,"-")</f>
        <v>3.975743610674769</v>
      </c>
      <c r="I65" s="132">
        <f t="shared" si="2"/>
        <v>7.5686209895675027</v>
      </c>
    </row>
    <row r="66" spans="2:9">
      <c r="B66" s="129" t="s">
        <v>850</v>
      </c>
      <c r="C66" s="129" t="s">
        <v>693</v>
      </c>
      <c r="D66" s="130">
        <v>1</v>
      </c>
      <c r="E66" s="131">
        <f>IFERROR(IF(ISBLANK(C66),"",IF(OR(ISBLANK(B66),IFERROR(VLOOKUP(B66,'Machinery Input Tables'!$B$6:$AF$121,13,FALSE),"")='Machinery Input Tables'!$N$128),1,VLOOKUP(B66,'Machinery Input Tables'!$B$6:$AF$121,28,FALSE))*VLOOKUP(C66,'Machinery Input Tables'!$AH$6:$BA$32,19,FALSE))*D66,"-")</f>
        <v>0.82133333333333325</v>
      </c>
      <c r="F66" s="131">
        <f>IFERROR(IF(AND(ISBLANK(B66)*ISBLANK(C66)),"",IF(ISBLANK(B66),1,IF(VLOOKUP(B66,'Machinery Input Tables'!$B$6:$AF$121,13,FALSE)='Machinery Input Tables'!$N$128,VLOOKUP(B66,'Machinery Input Tables'!$B$6:$AF$121,17,FALSE),VLOOKUP(B66,'Machinery Input Tables'!$B$6:$AF$121,28,FALSE))))*D66,"-")</f>
        <v>6.6666666666666666E-2</v>
      </c>
      <c r="G66" s="132">
        <f>IFERROR(IF(ISBLANK(C66),"",E66*'Machinery Input Tables'!$BP$10+F66*'Machinery Input Tables'!$BP$6+(VLOOKUP(C66,'Machinery Input Tables'!$AH$6:$BA$32,18,FALSE)*IF(IFERROR(VLOOKUP(B66,'Machinery Input Tables'!$B$6:$AF$121,13,FALSE)='Machinery Input Tables'!$N$128,1),1,VLOOKUP(B66,'Machinery Input Tables'!$B$6:$AF$121,28,FALSE))+IFERROR(VLOOKUP(B66,'Machinery Input Tables'!$B$6:$AF$121,27,FALSE),0))*D66),"-")</f>
        <v>10.935572086084932</v>
      </c>
      <c r="H66" s="132">
        <f>IFERROR((IFERROR(VLOOKUP(B66,'Machinery Input Tables'!$B$6:$AF$121,24,FALSE),0)+VLOOKUP(C66,'Machinery Input Tables'!$AH$6:$BA$32,20,FALSE))*IF(IFERROR(VLOOKUP(B66,'Machinery Input Tables'!$B$6:$AF$121,13,FALSE)='Machinery Input Tables'!$N$128,1),1,VLOOKUP(B66,'Machinery Input Tables'!$B$6:$AF$121,28,FALSE))*D66,"-")</f>
        <v>16.019837318672113</v>
      </c>
      <c r="I66" s="132">
        <f t="shared" si="2"/>
        <v>26.955409404757045</v>
      </c>
    </row>
    <row r="67" spans="2:9">
      <c r="B67" s="129" t="s">
        <v>694</v>
      </c>
      <c r="C67" s="129" t="s">
        <v>678</v>
      </c>
      <c r="D67" s="130">
        <v>6</v>
      </c>
      <c r="E67" s="131">
        <f>IFERROR(IF(ISBLANK(C67),"",IF(OR(ISBLANK(B67),IFERROR(VLOOKUP(B67,'Machinery Input Tables'!$B$6:$AF$121,13,FALSE),"")='Machinery Input Tables'!$N$128),1,VLOOKUP(B67,'Machinery Input Tables'!$B$6:$AF$121,28,FALSE))*VLOOKUP(C67,'Machinery Input Tables'!$AH$6:$BA$32,19,FALSE))*D67,"-")</f>
        <v>0.75624999999999998</v>
      </c>
      <c r="F67" s="131">
        <f>IFERROR(IF(AND(ISBLANK(B67)*ISBLANK(C67)),"",IF(ISBLANK(B67),1,IF(VLOOKUP(B67,'Machinery Input Tables'!$B$6:$AF$121,13,FALSE)='Machinery Input Tables'!$N$128,VLOOKUP(B67,'Machinery Input Tables'!$B$6:$AF$121,17,FALSE),VLOOKUP(B67,'Machinery Input Tables'!$B$6:$AF$121,28,FALSE))))*D67,"-")</f>
        <v>5.5E-2</v>
      </c>
      <c r="G67" s="132">
        <f>IFERROR(IF(ISBLANK(C67),"",E67*'Machinery Input Tables'!$BP$10+F67*'Machinery Input Tables'!$BP$6+(VLOOKUP(C67,'Machinery Input Tables'!$AH$6:$BA$32,18,FALSE)*IF(IFERROR(VLOOKUP(B67,'Machinery Input Tables'!$B$6:$AF$121,13,FALSE)='Machinery Input Tables'!$N$128,1),1,VLOOKUP(B67,'Machinery Input Tables'!$B$6:$AF$121,28,FALSE))+IFERROR(VLOOKUP(B67,'Machinery Input Tables'!$B$6:$AF$121,27,FALSE),0))*D67),"-")</f>
        <v>16.871422069346934</v>
      </c>
      <c r="H67" s="132">
        <f>IFERROR((IFERROR(VLOOKUP(B67,'Machinery Input Tables'!$B$6:$AF$121,24,FALSE),0)+VLOOKUP(C67,'Machinery Input Tables'!$AH$6:$BA$32,20,FALSE))*IF(IFERROR(VLOOKUP(B67,'Machinery Input Tables'!$B$6:$AF$121,13,FALSE)='Machinery Input Tables'!$N$128,1),1,VLOOKUP(B67,'Machinery Input Tables'!$B$6:$AF$121,28,FALSE))*D67,"-")</f>
        <v>9.6002211494792</v>
      </c>
      <c r="I67" s="132">
        <f t="shared" si="2"/>
        <v>26.471643218826134</v>
      </c>
    </row>
    <row r="68" spans="2:9">
      <c r="B68" s="129" t="s">
        <v>852</v>
      </c>
      <c r="C68" s="129" t="s">
        <v>882</v>
      </c>
      <c r="D68" s="130">
        <v>1</v>
      </c>
      <c r="E68" s="131">
        <f>IFERROR(IF(ISBLANK(C68),"",IF(OR(ISBLANK(B68),IFERROR(VLOOKUP(B68,'Machinery Input Tables'!$B$6:$AF$121,13,FALSE),"")='Machinery Input Tables'!$N$128),1,VLOOKUP(B68,'Machinery Input Tables'!$B$6:$AF$121,28,FALSE))*VLOOKUP(C68,'Machinery Input Tables'!$AH$6:$BA$32,19,FALSE))*D68,"-")</f>
        <v>3.5807291666666665</v>
      </c>
      <c r="F68" s="131">
        <f>IFERROR(IF(AND(ISBLANK(B68)*ISBLANK(C68)),"",IF(ISBLANK(B68),1,IF(VLOOKUP(B68,'Machinery Input Tables'!$B$6:$AF$121,13,FALSE)='Machinery Input Tables'!$N$128,VLOOKUP(B68,'Machinery Input Tables'!$B$6:$AF$121,17,FALSE),VLOOKUP(B68,'Machinery Input Tables'!$B$6:$AF$121,28,FALSE))))*D68,"-")</f>
        <v>0.14322916666666666</v>
      </c>
      <c r="G68" s="132">
        <f>IFERROR(IF(ISBLANK(C68),"",E68*'Machinery Input Tables'!$BP$10+F68*'Machinery Input Tables'!$BP$6+(VLOOKUP(C68,'Machinery Input Tables'!$AH$6:$BA$32,18,FALSE)*IF(IFERROR(VLOOKUP(B68,'Machinery Input Tables'!$B$6:$AF$121,13,FALSE)='Machinery Input Tables'!$N$128,1),1,VLOOKUP(B68,'Machinery Input Tables'!$B$6:$AF$121,28,FALSE))+IFERROR(VLOOKUP(B68,'Machinery Input Tables'!$B$6:$AF$121,27,FALSE),0))*D68),"-")</f>
        <v>63.405752972804692</v>
      </c>
      <c r="H68" s="132">
        <f>IFERROR((IFERROR(VLOOKUP(B68,'Machinery Input Tables'!$B$6:$AF$121,24,FALSE),0)+VLOOKUP(C68,'Machinery Input Tables'!$AH$6:$BA$32,20,FALSE))*IF(IFERROR(VLOOKUP(B68,'Machinery Input Tables'!$B$6:$AF$121,13,FALSE)='Machinery Input Tables'!$N$128,1),1,VLOOKUP(B68,'Machinery Input Tables'!$B$6:$AF$121,28,FALSE))*D68,"-")</f>
        <v>46.967934300211049</v>
      </c>
      <c r="I68" s="132">
        <f t="shared" si="2"/>
        <v>110.37368727301575</v>
      </c>
    </row>
    <row r="69" spans="2:9">
      <c r="B69" s="129"/>
      <c r="C69" s="129" t="s">
        <v>695</v>
      </c>
      <c r="D69" s="130">
        <v>0.25</v>
      </c>
      <c r="E69" s="131">
        <f>IFERROR(IF(ISBLANK(C69),"",IF(OR(ISBLANK(B69),IFERROR(VLOOKUP(B69,'Machinery Input Tables'!$B$6:$AF$121,13,FALSE),"")='Machinery Input Tables'!$N$128),1,VLOOKUP(B69,'Machinery Input Tables'!$B$6:$AF$121,28,FALSE))*VLOOKUP(C69,'Machinery Input Tables'!$AH$6:$BA$32,19,FALSE))*D69,"-")</f>
        <v>0.75</v>
      </c>
      <c r="F69" s="131">
        <f>IFERROR(IF(AND(ISBLANK(B69)*ISBLANK(C69)),"",IF(ISBLANK(B69),1,IF(VLOOKUP(B69,'Machinery Input Tables'!$B$6:$AF$121,13,FALSE)='Machinery Input Tables'!$N$128,VLOOKUP(B69,'Machinery Input Tables'!$B$6:$AF$121,17,FALSE),VLOOKUP(B69,'Machinery Input Tables'!$B$6:$AF$121,28,FALSE))))*D69,"-")</f>
        <v>0.25</v>
      </c>
      <c r="G69" s="132">
        <f>IFERROR(IF(ISBLANK(C69),"",E69*'Machinery Input Tables'!$BP$10+F69*'Machinery Input Tables'!$BP$6+(VLOOKUP(C69,'Machinery Input Tables'!$AH$6:$BA$32,18,FALSE)*IF(IFERROR(VLOOKUP(B69,'Machinery Input Tables'!$B$6:$AF$121,13,FALSE)='Machinery Input Tables'!$N$128,1),1,VLOOKUP(B69,'Machinery Input Tables'!$B$6:$AF$121,28,FALSE))+IFERROR(VLOOKUP(B69,'Machinery Input Tables'!$B$6:$AF$121,27,FALSE),0))*D69),"-")</f>
        <v>12.05</v>
      </c>
      <c r="H69" s="132">
        <f>IFERROR((IFERROR(VLOOKUP(B69,'Machinery Input Tables'!$B$6:$AF$121,24,FALSE),0)+VLOOKUP(C69,'Machinery Input Tables'!$AH$6:$BA$32,20,FALSE))*IF(IFERROR(VLOOKUP(B69,'Machinery Input Tables'!$B$6:$AF$121,13,FALSE)='Machinery Input Tables'!$N$128,1),1,VLOOKUP(B69,'Machinery Input Tables'!$B$6:$AF$121,28,FALSE))*D69,"-")</f>
        <v>4.9630979032408344</v>
      </c>
      <c r="I69" s="132">
        <f t="shared" si="2"/>
        <v>17.013097903240833</v>
      </c>
    </row>
    <row r="70" spans="2:9">
      <c r="B70" s="129" t="s">
        <v>696</v>
      </c>
      <c r="C70" s="129" t="s">
        <v>697</v>
      </c>
      <c r="D70" s="130">
        <v>1</v>
      </c>
      <c r="E70" s="131">
        <f>IFERROR(IF(ISBLANK(C70),"",IF(OR(ISBLANK(B70),IFERROR(VLOOKUP(B70,'Machinery Input Tables'!$B$6:$AF$121,13,FALSE),"")='Machinery Input Tables'!$N$128),1,VLOOKUP(B70,'Machinery Input Tables'!$B$6:$AF$121,28,FALSE))*VLOOKUP(C70,'Machinery Input Tables'!$AH$6:$BA$32,19,FALSE))*D70,"-")</f>
        <v>1.0083333333333331</v>
      </c>
      <c r="F70" s="131">
        <f>IFERROR(IF(AND(ISBLANK(B70)*ISBLANK(C70)),"",IF(ISBLANK(B70),1,IF(VLOOKUP(B70,'Machinery Input Tables'!$B$6:$AF$121,13,FALSE)='Machinery Input Tables'!$N$128,VLOOKUP(B70,'Machinery Input Tables'!$B$6:$AF$121,17,FALSE),VLOOKUP(B70,'Machinery Input Tables'!$B$6:$AF$121,28,FALSE))))*D70,"-")</f>
        <v>0.11458333333333333</v>
      </c>
      <c r="G70" s="132">
        <f>IFERROR(IF(ISBLANK(C70),"",E70*'Machinery Input Tables'!$BP$10+F70*'Machinery Input Tables'!$BP$6+(VLOOKUP(C70,'Machinery Input Tables'!$AH$6:$BA$32,18,FALSE)*IF(IFERROR(VLOOKUP(B70,'Machinery Input Tables'!$B$6:$AF$121,13,FALSE)='Machinery Input Tables'!$N$128,1),1,VLOOKUP(B70,'Machinery Input Tables'!$B$6:$AF$121,28,FALSE))+IFERROR(VLOOKUP(B70,'Machinery Input Tables'!$B$6:$AF$121,27,FALSE),0))*D70),"-")</f>
        <v>8.186123573871221</v>
      </c>
      <c r="H70" s="132">
        <f>IFERROR((IFERROR(VLOOKUP(B70,'Machinery Input Tables'!$B$6:$AF$121,24,FALSE),0)+VLOOKUP(C70,'Machinery Input Tables'!$AH$6:$BA$32,20,FALSE))*IF(IFERROR(VLOOKUP(B70,'Machinery Input Tables'!$B$6:$AF$121,13,FALSE)='Machinery Input Tables'!$N$128,1),1,VLOOKUP(B70,'Machinery Input Tables'!$B$6:$AF$121,28,FALSE))*D70,"-")</f>
        <v>9.5738477567261295</v>
      </c>
      <c r="I70" s="132">
        <f t="shared" si="2"/>
        <v>17.759971330597352</v>
      </c>
    </row>
    <row r="71" spans="2:9">
      <c r="B71" s="129"/>
      <c r="C71" s="129"/>
      <c r="D71" s="130"/>
      <c r="E71" s="131" t="str">
        <f>IFERROR(IF(ISBLANK(C71),"",IF(OR(ISBLANK(B71),IFERROR(VLOOKUP(B71,'Machinery Input Tables'!$B$6:$AF$121,13,FALSE),"")='Machinery Input Tables'!$N$128),1,VLOOKUP(B71,'Machinery Input Tables'!$B$6:$AF$121,28,FALSE))*VLOOKUP(C71,'Machinery Input Tables'!$AH$6:$BA$32,19,FALSE))*D71,"-")</f>
        <v>-</v>
      </c>
      <c r="F71" s="131" t="str">
        <f>IFERROR(IF(AND(ISBLANK(B71)*ISBLANK(C71)),"",IF(ISBLANK(B71),1,IF(VLOOKUP(B71,'Machinery Input Tables'!$B$6:$AF$121,13,FALSE)='Machinery Input Tables'!$N$128,VLOOKUP(B71,'Machinery Input Tables'!$B$6:$AF$121,17,FALSE),VLOOKUP(B71,'Machinery Input Tables'!$B$6:$AF$121,28,FALSE))))*D71,"-")</f>
        <v>-</v>
      </c>
      <c r="G71" s="132" t="str">
        <f>IFERROR(IF(ISBLANK(C71),"",E71*'Machinery Input Tables'!$BP$10+F71*'Machinery Input Tables'!$BP$6+(VLOOKUP(C71,'Machinery Input Tables'!$AH$6:$BA$32,18,FALSE)*IF(IFERROR(VLOOKUP(B71,'Machinery Input Tables'!$B$6:$AF$121,13,FALSE)='Machinery Input Tables'!$N$128,1),1,VLOOKUP(B71,'Machinery Input Tables'!$B$6:$AF$121,28,FALSE))+IFERROR(VLOOKUP(B71,'Machinery Input Tables'!$B$6:$AF$121,27,FALSE),0))*D71),"-")</f>
        <v/>
      </c>
      <c r="H71" s="132" t="str">
        <f>IFERROR((IFERROR(VLOOKUP(B71,'Machinery Input Tables'!$B$6:$AF$121,24,FALSE),0)+VLOOKUP(C71,'Machinery Input Tables'!$AH$6:$BA$32,20,FALSE))*IF(IFERROR(VLOOKUP(B71,'Machinery Input Tables'!$B$6:$AF$121,13,FALSE)='Machinery Input Tables'!$N$128,1),1,VLOOKUP(B71,'Machinery Input Tables'!$B$6:$AF$121,28,FALSE))*D71,"-")</f>
        <v>-</v>
      </c>
      <c r="I71" s="132">
        <f t="shared" si="2"/>
        <v>0</v>
      </c>
    </row>
    <row r="72" spans="2:9">
      <c r="B72" s="129"/>
      <c r="C72" s="129"/>
      <c r="D72" s="130"/>
      <c r="E72" s="131" t="str">
        <f>IFERROR(IF(ISBLANK(C72),"",IF(OR(ISBLANK(B72),IFERROR(VLOOKUP(B72,'Machinery Input Tables'!$B$6:$AF$121,13,FALSE),"")='Machinery Input Tables'!$N$128),1,VLOOKUP(B72,'Machinery Input Tables'!$B$6:$AF$121,28,FALSE))*VLOOKUP(C72,'Machinery Input Tables'!$AH$6:$BA$32,19,FALSE))*D72,"-")</f>
        <v>-</v>
      </c>
      <c r="F72" s="131" t="str">
        <f>IFERROR(IF(AND(ISBLANK(B72)*ISBLANK(C72)),"",IF(ISBLANK(B72),1,IF(VLOOKUP(B72,'Machinery Input Tables'!$B$6:$AF$121,13,FALSE)='Machinery Input Tables'!$N$128,VLOOKUP(B72,'Machinery Input Tables'!$B$6:$AF$121,17,FALSE),VLOOKUP(B72,'Machinery Input Tables'!$B$6:$AF$121,28,FALSE))))*D72,"-")</f>
        <v>-</v>
      </c>
      <c r="G72" s="132" t="str">
        <f>IFERROR(IF(ISBLANK(C72),"",E72*'Machinery Input Tables'!$BP$10+F72*'Machinery Input Tables'!$BP$6+(VLOOKUP(C72,'Machinery Input Tables'!$AH$6:$BA$32,18,FALSE)*IF(IFERROR(VLOOKUP(B72,'Machinery Input Tables'!$B$6:$AF$121,13,FALSE)='Machinery Input Tables'!$N$128,1),1,VLOOKUP(B72,'Machinery Input Tables'!$B$6:$AF$121,28,FALSE))+IFERROR(VLOOKUP(B72,'Machinery Input Tables'!$B$6:$AF$121,27,FALSE),0))*D72),"-")</f>
        <v/>
      </c>
      <c r="H72" s="132" t="str">
        <f>IFERROR((IFERROR(VLOOKUP(B72,'Machinery Input Tables'!$B$6:$AF$121,24,FALSE),0)+VLOOKUP(C72,'Machinery Input Tables'!$AH$6:$BA$32,20,FALSE))*IF(IFERROR(VLOOKUP(B72,'Machinery Input Tables'!$B$6:$AF$121,13,FALSE)='Machinery Input Tables'!$N$128,1),1,VLOOKUP(B72,'Machinery Input Tables'!$B$6:$AF$121,28,FALSE))*D72,"-")</f>
        <v>-</v>
      </c>
      <c r="I72" s="132">
        <f t="shared" si="2"/>
        <v>0</v>
      </c>
    </row>
    <row r="73" spans="2:9">
      <c r="B73" s="133"/>
      <c r="C73" s="133"/>
      <c r="D73" s="134"/>
      <c r="E73" s="135" t="str">
        <f>IFERROR(IF(ISBLANK(C73),"",IF(OR(ISBLANK(B73),IFERROR(VLOOKUP(B73,'Machinery Input Tables'!$B$6:$AF$121,13,FALSE),"")='Machinery Input Tables'!$N$128),1,VLOOKUP(B73,'Machinery Input Tables'!$B$6:$AF$121,28,FALSE))*VLOOKUP(C73,'Machinery Input Tables'!$AH$6:$BA$32,19,FALSE))*D73,"-")</f>
        <v>-</v>
      </c>
      <c r="F73" s="135" t="str">
        <f>IFERROR(IF(AND(ISBLANK(B73)*ISBLANK(C73)),"",IF(ISBLANK(B73),1,IF(VLOOKUP(B73,'Machinery Input Tables'!$B$6:$AF$121,13,FALSE)='Machinery Input Tables'!$N$128,VLOOKUP(B73,'Machinery Input Tables'!$B$6:$AF$121,17,FALSE),VLOOKUP(B73,'Machinery Input Tables'!$B$6:$AF$121,28,FALSE))))*D73,"-")</f>
        <v>-</v>
      </c>
      <c r="G73" s="136" t="str">
        <f>IFERROR(IF(ISBLANK(C73),"",E73*'Machinery Input Tables'!$BP$10+F73*'Machinery Input Tables'!$BP$6+(VLOOKUP(C73,'Machinery Input Tables'!$AH$6:$BA$32,18,FALSE)*IF(IFERROR(VLOOKUP(B73,'Machinery Input Tables'!$B$6:$AF$121,13,FALSE)='Machinery Input Tables'!$N$128,1),1,VLOOKUP(B73,'Machinery Input Tables'!$B$6:$AF$121,28,FALSE))+IFERROR(VLOOKUP(B73,'Machinery Input Tables'!$B$6:$AF$121,27,FALSE),0))*D73),"-")</f>
        <v/>
      </c>
      <c r="H73" s="136" t="str">
        <f>IFERROR((IFERROR(VLOOKUP(B73,'Machinery Input Tables'!$B$6:$AF$121,24,FALSE),0)+VLOOKUP(C73,'Machinery Input Tables'!$AH$6:$BA$32,20,FALSE))*IF(IFERROR(VLOOKUP(B73,'Machinery Input Tables'!$B$6:$AF$121,13,FALSE)='Machinery Input Tables'!$N$128,1),1,VLOOKUP(B73,'Machinery Input Tables'!$B$6:$AF$121,28,FALSE))*D73,"-")</f>
        <v>-</v>
      </c>
      <c r="I73" s="136">
        <f t="shared" si="2"/>
        <v>0</v>
      </c>
    </row>
    <row r="74" spans="2:9">
      <c r="B74" s="126"/>
      <c r="C74" s="137" t="s">
        <v>19</v>
      </c>
      <c r="D74" s="138"/>
      <c r="E74" s="139">
        <f>SUM(E63:E73)</f>
        <v>8.3737072712418303</v>
      </c>
      <c r="F74" s="139">
        <f t="shared" ref="F74:I74" si="3">SUM(F63:F73)</f>
        <v>0.7348059640522876</v>
      </c>
      <c r="G74" s="140">
        <f t="shared" si="3"/>
        <v>121.94106123244538</v>
      </c>
      <c r="H74" s="140">
        <f t="shared" si="3"/>
        <v>100.03059387840284</v>
      </c>
      <c r="I74" s="140">
        <f t="shared" si="3"/>
        <v>221.97165511084822</v>
      </c>
    </row>
    <row r="75" spans="2:9">
      <c r="B75" s="141" t="s">
        <v>874</v>
      </c>
      <c r="C75" s="72"/>
      <c r="D75" s="72"/>
      <c r="E75" s="72"/>
      <c r="F75" s="72"/>
      <c r="G75" s="72"/>
      <c r="H75" s="72"/>
    </row>
    <row r="76" spans="2:9">
      <c r="B76" s="141" t="s">
        <v>875</v>
      </c>
      <c r="C76" s="72"/>
      <c r="D76" s="72"/>
      <c r="E76" s="72"/>
      <c r="F76" s="72"/>
      <c r="G76" s="72"/>
      <c r="H76" s="72"/>
    </row>
    <row r="77" spans="2:9">
      <c r="B77" s="72"/>
      <c r="C77" s="72"/>
      <c r="D77" s="72"/>
      <c r="E77" s="72"/>
      <c r="F77" s="72"/>
      <c r="G77" s="72"/>
      <c r="H77" s="72"/>
    </row>
    <row r="78" spans="2:9" hidden="1">
      <c r="B78" s="72"/>
      <c r="C78" s="72"/>
      <c r="D78" s="72"/>
      <c r="E78" s="72"/>
      <c r="F78" s="72"/>
      <c r="G78" s="72"/>
      <c r="H78" s="72"/>
    </row>
    <row r="79" spans="2:9" hidden="1">
      <c r="H79" s="72"/>
    </row>
    <row r="80" spans="2:9" hidden="1">
      <c r="H80" s="72"/>
    </row>
    <row r="81" spans="2:8" hidden="1">
      <c r="H81" s="72"/>
    </row>
    <row r="82" spans="2:8" hidden="1">
      <c r="H82" s="72"/>
    </row>
    <row r="83" spans="2:8" hidden="1">
      <c r="H83" s="72"/>
    </row>
    <row r="84" spans="2:8" hidden="1">
      <c r="H84" s="72"/>
    </row>
    <row r="85" spans="2:8" hidden="1">
      <c r="H85" s="72"/>
    </row>
    <row r="86" spans="2:8" hidden="1">
      <c r="H86" s="72"/>
    </row>
    <row r="87" spans="2:8" hidden="1">
      <c r="H87" s="72"/>
    </row>
    <row r="88" spans="2:8" hidden="1">
      <c r="H88" s="72"/>
    </row>
    <row r="89" spans="2:8" hidden="1">
      <c r="B89" s="72"/>
      <c r="C89" s="72"/>
      <c r="D89" s="72"/>
      <c r="E89" s="74" t="s">
        <v>803</v>
      </c>
      <c r="F89" s="142">
        <f>F47</f>
        <v>-19.454483884872324</v>
      </c>
      <c r="G89" s="72"/>
      <c r="H89" s="72"/>
    </row>
    <row r="90" spans="2:8" hidden="1">
      <c r="B90" s="72"/>
      <c r="C90" s="72"/>
      <c r="D90" s="72"/>
      <c r="E90" s="72"/>
      <c r="F90" s="72"/>
      <c r="G90" s="72"/>
      <c r="H90" s="72"/>
    </row>
    <row r="91" spans="2:8" hidden="1">
      <c r="H91" s="72"/>
    </row>
    <row r="92" spans="2:8" hidden="1">
      <c r="H92" s="72"/>
    </row>
    <row r="93" spans="2:8" hidden="1">
      <c r="H93" s="72"/>
    </row>
    <row r="94" spans="2:8" hidden="1">
      <c r="H94" s="72"/>
    </row>
    <row r="105" spans="8:8" hidden="1">
      <c r="H105" s="72"/>
    </row>
    <row r="106" spans="8:8" hidden="1">
      <c r="H106" s="72"/>
    </row>
    <row r="934" spans="2:3" hidden="1">
      <c r="B934" s="3" t="s">
        <v>41</v>
      </c>
    </row>
    <row r="935" spans="2:3" hidden="1">
      <c r="B935" s="3" t="s">
        <v>42</v>
      </c>
      <c r="C935" s="3">
        <v>5</v>
      </c>
    </row>
    <row r="936" spans="2:3" hidden="1">
      <c r="B936" s="3" t="s">
        <v>43</v>
      </c>
      <c r="C936" s="3">
        <v>1</v>
      </c>
    </row>
    <row r="937" spans="2:3" hidden="1">
      <c r="B937" s="3" t="s">
        <v>44</v>
      </c>
      <c r="C937" s="3">
        <v>1</v>
      </c>
    </row>
    <row r="938" spans="2:3" hidden="1">
      <c r="B938" s="3" t="s">
        <v>45</v>
      </c>
      <c r="C938" s="3">
        <v>2</v>
      </c>
    </row>
    <row r="939" spans="2:3" hidden="1">
      <c r="B939" s="3" t="s">
        <v>46</v>
      </c>
      <c r="C939" s="3">
        <v>1</v>
      </c>
    </row>
    <row r="940" spans="2:3" hidden="1">
      <c r="B940" s="3" t="s">
        <v>47</v>
      </c>
      <c r="C940" s="3">
        <v>0</v>
      </c>
    </row>
    <row r="941" spans="2:3" hidden="1">
      <c r="B941" s="3" t="s">
        <v>48</v>
      </c>
      <c r="C941" s="3">
        <v>0</v>
      </c>
    </row>
    <row r="942" spans="2:3" hidden="1">
      <c r="B942" s="3" t="s">
        <v>49</v>
      </c>
      <c r="C942" s="3">
        <v>0</v>
      </c>
    </row>
    <row r="943" spans="2:3" hidden="1">
      <c r="B943" s="3" t="s">
        <v>50</v>
      </c>
      <c r="C943" s="3">
        <v>0</v>
      </c>
    </row>
    <row r="944" spans="2:3" hidden="1">
      <c r="B944" s="3" t="s">
        <v>51</v>
      </c>
      <c r="C944" s="3">
        <v>0</v>
      </c>
    </row>
    <row r="945" spans="2:3" hidden="1">
      <c r="B945" s="3" t="s">
        <v>52</v>
      </c>
      <c r="C945" s="3">
        <v>0</v>
      </c>
    </row>
    <row r="946" spans="2:3" hidden="1">
      <c r="B946" s="3" t="s">
        <v>53</v>
      </c>
      <c r="C946" s="3" t="b">
        <v>1</v>
      </c>
    </row>
    <row r="947" spans="2:3" hidden="1">
      <c r="B947" s="3" t="s">
        <v>54</v>
      </c>
      <c r="C947" s="3">
        <v>0</v>
      </c>
    </row>
    <row r="948" spans="2:3" hidden="1">
      <c r="B948" s="3" t="s">
        <v>55</v>
      </c>
      <c r="C948" s="3" t="b">
        <v>1</v>
      </c>
    </row>
    <row r="949" spans="2:3" hidden="1">
      <c r="B949" s="3" t="s">
        <v>56</v>
      </c>
      <c r="C949" s="3">
        <v>0</v>
      </c>
    </row>
    <row r="950" spans="2:3" hidden="1">
      <c r="B950" s="3" t="s">
        <v>57</v>
      </c>
      <c r="C950" s="3">
        <v>0</v>
      </c>
    </row>
    <row r="951" spans="2:3" hidden="1">
      <c r="B951" s="3" t="s">
        <v>58</v>
      </c>
      <c r="C951" s="3" t="b">
        <v>1</v>
      </c>
    </row>
    <row r="952" spans="2:3" hidden="1">
      <c r="B952" s="3" t="s">
        <v>59</v>
      </c>
      <c r="C952" s="3">
        <v>0</v>
      </c>
    </row>
    <row r="953" spans="2:3" hidden="1">
      <c r="B953" s="3" t="s">
        <v>60</v>
      </c>
      <c r="C953" s="3">
        <v>0</v>
      </c>
    </row>
    <row r="954" spans="2:3" hidden="1">
      <c r="B954" s="3" t="s">
        <v>61</v>
      </c>
      <c r="C954" s="3">
        <v>0</v>
      </c>
    </row>
    <row r="955" spans="2:3" hidden="1">
      <c r="B955" s="3" t="s">
        <v>62</v>
      </c>
      <c r="C955" s="3">
        <v>0</v>
      </c>
    </row>
    <row r="956" spans="2:3" hidden="1">
      <c r="B956" s="3" t="s">
        <v>63</v>
      </c>
      <c r="C956" s="3" t="s">
        <v>358</v>
      </c>
    </row>
    <row r="957" spans="2:3" hidden="1">
      <c r="B957" s="3" t="s">
        <v>64</v>
      </c>
      <c r="C957" s="3">
        <v>100</v>
      </c>
    </row>
    <row r="958" spans="2:3" hidden="1">
      <c r="B958" s="3" t="s">
        <v>65</v>
      </c>
      <c r="C958" s="3">
        <v>25</v>
      </c>
    </row>
    <row r="959" spans="2:3" hidden="1">
      <c r="B959" s="3" t="s">
        <v>66</v>
      </c>
      <c r="C959" s="3">
        <v>9</v>
      </c>
    </row>
    <row r="960" spans="2:3" hidden="1">
      <c r="B960" s="3" t="s">
        <v>67</v>
      </c>
      <c r="C960" s="3">
        <v>0</v>
      </c>
    </row>
    <row r="961" spans="2:3" hidden="1">
      <c r="B961" s="3" t="s">
        <v>68</v>
      </c>
      <c r="C961" s="3">
        <v>0</v>
      </c>
    </row>
    <row r="962" spans="2:3" hidden="1">
      <c r="B962" s="3" t="s">
        <v>69</v>
      </c>
      <c r="C962" s="3">
        <v>0</v>
      </c>
    </row>
    <row r="963" spans="2:3" hidden="1">
      <c r="B963" s="3" t="s">
        <v>70</v>
      </c>
      <c r="C963" s="3">
        <v>0</v>
      </c>
    </row>
    <row r="964" spans="2:3" hidden="1">
      <c r="B964" s="3" t="s">
        <v>71</v>
      </c>
      <c r="C964" s="3">
        <v>0</v>
      </c>
    </row>
    <row r="965" spans="2:3" hidden="1">
      <c r="B965" s="3" t="s">
        <v>72</v>
      </c>
      <c r="C965" s="3">
        <v>60</v>
      </c>
    </row>
    <row r="966" spans="2:3" hidden="1">
      <c r="B966" s="3" t="s">
        <v>73</v>
      </c>
      <c r="C966" s="3">
        <v>0</v>
      </c>
    </row>
    <row r="967" spans="2:3" hidden="1">
      <c r="B967" s="3" t="s">
        <v>74</v>
      </c>
      <c r="C967" s="3">
        <v>0</v>
      </c>
    </row>
    <row r="968" spans="2:3" hidden="1">
      <c r="B968" s="3" t="s">
        <v>75</v>
      </c>
      <c r="C968" s="3">
        <v>0</v>
      </c>
    </row>
    <row r="969" spans="2:3" hidden="1">
      <c r="B969" s="3" t="s">
        <v>76</v>
      </c>
      <c r="C969" s="3">
        <v>0</v>
      </c>
    </row>
    <row r="970" spans="2:3" hidden="1">
      <c r="B970" s="3" t="s">
        <v>77</v>
      </c>
      <c r="C970" s="3">
        <v>0</v>
      </c>
    </row>
    <row r="971" spans="2:3" hidden="1">
      <c r="B971" s="3" t="s">
        <v>78</v>
      </c>
      <c r="C971" s="3">
        <v>200000</v>
      </c>
    </row>
    <row r="972" spans="2:3" hidden="1">
      <c r="B972" s="3" t="s">
        <v>79</v>
      </c>
      <c r="C972" s="3">
        <v>0</v>
      </c>
    </row>
    <row r="973" spans="2:3" hidden="1">
      <c r="B973" s="3" t="s">
        <v>80</v>
      </c>
      <c r="C973" s="3">
        <v>0</v>
      </c>
    </row>
    <row r="974" spans="2:3" hidden="1">
      <c r="B974" s="3" t="s">
        <v>81</v>
      </c>
      <c r="C974" s="3">
        <v>0</v>
      </c>
    </row>
    <row r="975" spans="2:3" hidden="1">
      <c r="B975" s="3" t="s">
        <v>82</v>
      </c>
      <c r="C975" s="3">
        <v>0</v>
      </c>
    </row>
    <row r="976" spans="2:3" hidden="1">
      <c r="B976" s="3" t="s">
        <v>83</v>
      </c>
      <c r="C976" s="3">
        <v>0</v>
      </c>
    </row>
    <row r="977" spans="2:3" hidden="1">
      <c r="B977" s="3" t="s">
        <v>84</v>
      </c>
      <c r="C977" s="3">
        <v>0</v>
      </c>
    </row>
    <row r="978" spans="2:3" hidden="1">
      <c r="B978" s="3" t="s">
        <v>85</v>
      </c>
      <c r="C978" s="3">
        <v>0</v>
      </c>
    </row>
    <row r="979" spans="2:3" hidden="1">
      <c r="B979" s="3" t="s">
        <v>86</v>
      </c>
      <c r="C979" s="3">
        <v>20</v>
      </c>
    </row>
    <row r="980" spans="2:3" hidden="1">
      <c r="B980" s="3" t="s">
        <v>87</v>
      </c>
      <c r="C980" s="3">
        <v>35</v>
      </c>
    </row>
    <row r="981" spans="2:3" hidden="1">
      <c r="B981" s="3" t="s">
        <v>88</v>
      </c>
      <c r="C981" s="3">
        <v>0</v>
      </c>
    </row>
    <row r="982" spans="2:3" hidden="1">
      <c r="B982" s="3" t="s">
        <v>89</v>
      </c>
      <c r="C982" s="3">
        <v>0</v>
      </c>
    </row>
    <row r="983" spans="2:3" hidden="1">
      <c r="B983" s="3" t="s">
        <v>90</v>
      </c>
      <c r="C983" s="3">
        <v>0</v>
      </c>
    </row>
    <row r="984" spans="2:3" hidden="1">
      <c r="B984" s="3" t="s">
        <v>91</v>
      </c>
      <c r="C984" s="3">
        <v>0</v>
      </c>
    </row>
    <row r="985" spans="2:3" hidden="1">
      <c r="B985" s="3" t="s">
        <v>92</v>
      </c>
      <c r="C985" s="3">
        <v>0</v>
      </c>
    </row>
    <row r="986" spans="2:3" hidden="1">
      <c r="B986" s="3" t="s">
        <v>93</v>
      </c>
      <c r="C986" s="3">
        <v>0</v>
      </c>
    </row>
    <row r="987" spans="2:3" hidden="1">
      <c r="B987" s="3" t="s">
        <v>94</v>
      </c>
      <c r="C987" s="3">
        <v>0.49</v>
      </c>
    </row>
    <row r="988" spans="2:3" hidden="1">
      <c r="B988" s="3" t="s">
        <v>95</v>
      </c>
      <c r="C988" s="3">
        <v>0.4</v>
      </c>
    </row>
    <row r="989" spans="2:3" hidden="1">
      <c r="B989" s="3" t="s">
        <v>96</v>
      </c>
      <c r="C989" s="3">
        <v>0</v>
      </c>
    </row>
    <row r="990" spans="2:3" hidden="1">
      <c r="B990" s="3" t="s">
        <v>97</v>
      </c>
      <c r="C990" s="3">
        <v>0</v>
      </c>
    </row>
    <row r="991" spans="2:3" hidden="1">
      <c r="B991" s="3" t="s">
        <v>98</v>
      </c>
      <c r="C991" s="3">
        <v>0</v>
      </c>
    </row>
    <row r="992" spans="2:3" hidden="1">
      <c r="B992" s="3" t="s">
        <v>99</v>
      </c>
      <c r="C992" s="3">
        <v>0</v>
      </c>
    </row>
    <row r="993" spans="2:3" hidden="1">
      <c r="B993" s="3" t="s">
        <v>100</v>
      </c>
      <c r="C993" s="3">
        <v>0</v>
      </c>
    </row>
    <row r="994" spans="2:3" hidden="1">
      <c r="B994" s="3" t="s">
        <v>101</v>
      </c>
      <c r="C994" s="3">
        <v>0</v>
      </c>
    </row>
    <row r="995" spans="2:3" hidden="1">
      <c r="B995" s="3" t="s">
        <v>102</v>
      </c>
      <c r="C995" s="3">
        <v>1</v>
      </c>
    </row>
    <row r="996" spans="2:3" hidden="1">
      <c r="B996" s="3" t="s">
        <v>103</v>
      </c>
      <c r="C996" s="3">
        <v>0</v>
      </c>
    </row>
    <row r="997" spans="2:3" hidden="1">
      <c r="B997" s="3" t="s">
        <v>104</v>
      </c>
      <c r="C997" s="3">
        <v>0</v>
      </c>
    </row>
    <row r="998" spans="2:3" hidden="1">
      <c r="B998" s="3" t="s">
        <v>105</v>
      </c>
      <c r="C998" s="3">
        <v>1</v>
      </c>
    </row>
    <row r="999" spans="2:3" hidden="1">
      <c r="B999" s="3" t="s">
        <v>106</v>
      </c>
      <c r="C999" s="3">
        <v>0</v>
      </c>
    </row>
    <row r="1000" spans="2:3" hidden="1">
      <c r="B1000" s="3" t="s">
        <v>107</v>
      </c>
      <c r="C1000" s="3">
        <v>0</v>
      </c>
    </row>
    <row r="1001" spans="2:3" hidden="1">
      <c r="B1001" s="3" t="s">
        <v>108</v>
      </c>
      <c r="C1001" s="3">
        <v>0</v>
      </c>
    </row>
    <row r="1002" spans="2:3" hidden="1">
      <c r="B1002" s="3" t="s">
        <v>109</v>
      </c>
      <c r="C1002" s="3">
        <v>0</v>
      </c>
    </row>
    <row r="1003" spans="2:3" hidden="1">
      <c r="B1003" s="3" t="s">
        <v>110</v>
      </c>
      <c r="C1003" s="3">
        <v>8.75</v>
      </c>
    </row>
    <row r="1004" spans="2:3" hidden="1">
      <c r="B1004" s="3" t="s">
        <v>111</v>
      </c>
      <c r="C1004" s="3">
        <v>0</v>
      </c>
    </row>
    <row r="1005" spans="2:3" hidden="1">
      <c r="B1005" s="3" t="s">
        <v>112</v>
      </c>
      <c r="C1005" s="3">
        <v>0</v>
      </c>
    </row>
    <row r="1006" spans="2:3" hidden="1">
      <c r="B1006" s="3" t="s">
        <v>113</v>
      </c>
      <c r="C1006" s="3">
        <v>0</v>
      </c>
    </row>
    <row r="1007" spans="2:3" hidden="1">
      <c r="B1007" s="3" t="s">
        <v>114</v>
      </c>
      <c r="C1007" s="3">
        <v>0</v>
      </c>
    </row>
    <row r="1008" spans="2:3" hidden="1">
      <c r="B1008" s="3" t="s">
        <v>115</v>
      </c>
      <c r="C1008" s="3">
        <v>0</v>
      </c>
    </row>
    <row r="1009" spans="2:3" hidden="1">
      <c r="B1009" s="3" t="s">
        <v>116</v>
      </c>
      <c r="C1009" s="3">
        <v>0</v>
      </c>
    </row>
    <row r="1010" spans="2:3" hidden="1">
      <c r="B1010" s="3" t="s">
        <v>117</v>
      </c>
      <c r="C1010" s="3">
        <v>0</v>
      </c>
    </row>
    <row r="1011" spans="2:3" hidden="1">
      <c r="B1011" s="3" t="s">
        <v>118</v>
      </c>
      <c r="C1011" s="3">
        <v>0</v>
      </c>
    </row>
    <row r="1012" spans="2:3" hidden="1">
      <c r="B1012" s="3" t="s">
        <v>119</v>
      </c>
      <c r="C1012" s="3">
        <v>0</v>
      </c>
    </row>
    <row r="1013" spans="2:3" hidden="1">
      <c r="B1013" s="3" t="s">
        <v>120</v>
      </c>
      <c r="C1013" s="3">
        <v>0</v>
      </c>
    </row>
    <row r="1014" spans="2:3" hidden="1">
      <c r="B1014" s="3" t="s">
        <v>121</v>
      </c>
      <c r="C1014" s="3">
        <v>0</v>
      </c>
    </row>
    <row r="1015" spans="2:3" hidden="1">
      <c r="B1015" s="3" t="s">
        <v>122</v>
      </c>
      <c r="C1015" s="3">
        <v>0</v>
      </c>
    </row>
    <row r="1016" spans="2:3" hidden="1">
      <c r="B1016" s="3" t="s">
        <v>123</v>
      </c>
      <c r="C1016" s="3">
        <v>0</v>
      </c>
    </row>
    <row r="1017" spans="2:3" hidden="1">
      <c r="B1017" s="3" t="s">
        <v>124</v>
      </c>
      <c r="C1017" s="3">
        <v>0</v>
      </c>
    </row>
    <row r="1018" spans="2:3" hidden="1">
      <c r="B1018" s="3" t="s">
        <v>125</v>
      </c>
      <c r="C1018" s="3">
        <v>0.5</v>
      </c>
    </row>
    <row r="1019" spans="2:3" hidden="1">
      <c r="B1019" s="3" t="s">
        <v>126</v>
      </c>
      <c r="C1019" s="3">
        <v>13.5</v>
      </c>
    </row>
    <row r="1020" spans="2:3" hidden="1">
      <c r="B1020" s="3" t="s">
        <v>127</v>
      </c>
      <c r="C1020" s="3">
        <v>18</v>
      </c>
    </row>
    <row r="1021" spans="2:3" hidden="1">
      <c r="B1021" s="3" t="s">
        <v>128</v>
      </c>
      <c r="C1021" s="3">
        <v>0</v>
      </c>
    </row>
    <row r="1022" spans="2:3" hidden="1">
      <c r="B1022" s="3" t="s">
        <v>129</v>
      </c>
      <c r="C1022" s="3">
        <v>0</v>
      </c>
    </row>
    <row r="1023" spans="2:3" hidden="1">
      <c r="B1023" s="3" t="s">
        <v>130</v>
      </c>
      <c r="C1023" s="3">
        <v>0</v>
      </c>
    </row>
    <row r="1024" spans="2:3" hidden="1">
      <c r="B1024" s="3" t="s">
        <v>131</v>
      </c>
      <c r="C1024" s="3">
        <v>3600</v>
      </c>
    </row>
    <row r="1025" spans="2:3" hidden="1">
      <c r="B1025" s="3" t="s">
        <v>132</v>
      </c>
      <c r="C1025" s="3">
        <v>0</v>
      </c>
    </row>
    <row r="1026" spans="2:3" hidden="1">
      <c r="B1026" s="3" t="s">
        <v>133</v>
      </c>
      <c r="C1026" s="3">
        <v>0</v>
      </c>
    </row>
    <row r="1027" spans="2:3" hidden="1">
      <c r="B1027" s="3" t="s">
        <v>134</v>
      </c>
      <c r="C1027" s="3">
        <v>0</v>
      </c>
    </row>
    <row r="1028" spans="2:3" hidden="1">
      <c r="B1028" s="3" t="s">
        <v>135</v>
      </c>
      <c r="C1028" s="3">
        <v>0</v>
      </c>
    </row>
    <row r="1029" spans="2:3" hidden="1">
      <c r="B1029" s="3" t="s">
        <v>136</v>
      </c>
      <c r="C1029" s="3">
        <v>6</v>
      </c>
    </row>
    <row r="1030" spans="2:3" hidden="1">
      <c r="B1030" s="3" t="s">
        <v>137</v>
      </c>
      <c r="C1030" s="3">
        <v>3.65</v>
      </c>
    </row>
    <row r="1031" spans="2:3" hidden="1">
      <c r="B1031" s="3" t="s">
        <v>138</v>
      </c>
      <c r="C1031" s="3">
        <v>3.38</v>
      </c>
    </row>
    <row r="1032" spans="2:3" hidden="1">
      <c r="B1032" s="3" t="s">
        <v>139</v>
      </c>
      <c r="C1032" s="3">
        <v>0</v>
      </c>
    </row>
    <row r="1033" spans="2:3" hidden="1">
      <c r="B1033" s="3" t="s">
        <v>140</v>
      </c>
      <c r="C1033" s="3">
        <v>0</v>
      </c>
    </row>
    <row r="1034" spans="2:3" hidden="1">
      <c r="B1034" s="3" t="s">
        <v>141</v>
      </c>
      <c r="C1034" s="3">
        <v>0</v>
      </c>
    </row>
    <row r="1035" spans="2:3" hidden="1">
      <c r="B1035" s="3" t="s">
        <v>142</v>
      </c>
      <c r="C1035" s="3">
        <v>0</v>
      </c>
    </row>
    <row r="1036" spans="2:3" hidden="1">
      <c r="B1036" s="3" t="s">
        <v>143</v>
      </c>
      <c r="C1036" s="3">
        <v>0</v>
      </c>
    </row>
    <row r="1037" spans="2:3" hidden="1">
      <c r="B1037" s="3" t="s">
        <v>144</v>
      </c>
      <c r="C1037" s="3">
        <v>0</v>
      </c>
    </row>
    <row r="1038" spans="2:3" hidden="1">
      <c r="B1038" s="3" t="s">
        <v>145</v>
      </c>
      <c r="C1038" s="3">
        <v>0</v>
      </c>
    </row>
    <row r="1039" spans="2:3" hidden="1">
      <c r="B1039" s="3" t="s">
        <v>146</v>
      </c>
      <c r="C1039" s="3">
        <v>0</v>
      </c>
    </row>
    <row r="1040" spans="2:3" hidden="1">
      <c r="B1040" s="3" t="s">
        <v>147</v>
      </c>
      <c r="C1040" s="3">
        <v>0</v>
      </c>
    </row>
    <row r="1041" spans="2:3" hidden="1">
      <c r="B1041" s="3" t="s">
        <v>148</v>
      </c>
      <c r="C1041" s="3">
        <v>5</v>
      </c>
    </row>
    <row r="1042" spans="2:3" hidden="1">
      <c r="B1042" s="3" t="s">
        <v>149</v>
      </c>
      <c r="C1042" s="3">
        <v>0</v>
      </c>
    </row>
    <row r="1043" spans="2:3" hidden="1">
      <c r="B1043" s="3" t="s">
        <v>150</v>
      </c>
      <c r="C1043" s="3">
        <v>0</v>
      </c>
    </row>
    <row r="1044" spans="2:3" hidden="1">
      <c r="B1044" s="3" t="s">
        <v>151</v>
      </c>
      <c r="C1044" s="3">
        <v>0</v>
      </c>
    </row>
    <row r="1045" spans="2:3" hidden="1">
      <c r="B1045" s="3" t="s">
        <v>152</v>
      </c>
      <c r="C1045" s="3">
        <v>6800</v>
      </c>
    </row>
    <row r="1046" spans="2:3" hidden="1">
      <c r="B1046" s="3" t="s">
        <v>153</v>
      </c>
      <c r="C1046" s="3">
        <v>0</v>
      </c>
    </row>
    <row r="1047" spans="2:3" hidden="1">
      <c r="B1047" s="3" t="s">
        <v>154</v>
      </c>
      <c r="C1047" s="3">
        <v>0</v>
      </c>
    </row>
    <row r="1048" spans="2:3" hidden="1">
      <c r="B1048" s="3" t="s">
        <v>155</v>
      </c>
      <c r="C1048" s="3">
        <v>8500</v>
      </c>
    </row>
    <row r="1049" spans="2:3" hidden="1">
      <c r="B1049" s="3" t="s">
        <v>156</v>
      </c>
      <c r="C1049" s="3">
        <v>0</v>
      </c>
    </row>
    <row r="1050" spans="2:3" hidden="1">
      <c r="B1050" s="3" t="s">
        <v>157</v>
      </c>
      <c r="C1050" s="3">
        <v>15000</v>
      </c>
    </row>
    <row r="1051" spans="2:3" hidden="1">
      <c r="B1051" s="3" t="s">
        <v>158</v>
      </c>
      <c r="C1051" s="3">
        <v>3</v>
      </c>
    </row>
    <row r="1052" spans="2:3" hidden="1">
      <c r="B1052" s="3" t="s">
        <v>159</v>
      </c>
      <c r="C1052" s="3">
        <v>0</v>
      </c>
    </row>
    <row r="1053" spans="2:3" hidden="1">
      <c r="B1053" s="3" t="s">
        <v>160</v>
      </c>
      <c r="C1053" s="3">
        <v>0</v>
      </c>
    </row>
    <row r="1054" spans="2:3" hidden="1">
      <c r="B1054" s="3" t="s">
        <v>161</v>
      </c>
      <c r="C1054" s="3">
        <v>0</v>
      </c>
    </row>
    <row r="1055" spans="2:3" hidden="1">
      <c r="B1055" s="3" t="s">
        <v>162</v>
      </c>
      <c r="C1055" s="3">
        <v>0</v>
      </c>
    </row>
    <row r="1056" spans="2:3" hidden="1">
      <c r="B1056" s="3" t="s">
        <v>163</v>
      </c>
      <c r="C1056" s="3">
        <v>0</v>
      </c>
    </row>
    <row r="1057" spans="2:3" hidden="1">
      <c r="B1057" s="3" t="s">
        <v>164</v>
      </c>
      <c r="C1057" s="3">
        <v>0</v>
      </c>
    </row>
    <row r="1058" spans="2:3" hidden="1">
      <c r="B1058" s="3" t="s">
        <v>165</v>
      </c>
      <c r="C1058" s="3">
        <v>0</v>
      </c>
    </row>
    <row r="1059" spans="2:3" hidden="1">
      <c r="B1059" s="3" t="s">
        <v>166</v>
      </c>
      <c r="C1059" s="3">
        <v>0</v>
      </c>
    </row>
    <row r="1060" spans="2:3" hidden="1">
      <c r="B1060" s="3" t="s">
        <v>167</v>
      </c>
      <c r="C1060" s="3">
        <v>0</v>
      </c>
    </row>
    <row r="1061" spans="2:3" hidden="1">
      <c r="B1061" s="3" t="s">
        <v>168</v>
      </c>
      <c r="C1061" s="3">
        <v>0</v>
      </c>
    </row>
    <row r="1062" spans="2:3" hidden="1">
      <c r="B1062" s="3" t="s">
        <v>169</v>
      </c>
      <c r="C1062" s="3">
        <v>0</v>
      </c>
    </row>
    <row r="1063" spans="2:3" hidden="1">
      <c r="B1063" s="3" t="s">
        <v>170</v>
      </c>
      <c r="C1063" s="3">
        <v>0</v>
      </c>
    </row>
    <row r="1064" spans="2:3" hidden="1">
      <c r="B1064" s="3" t="s">
        <v>171</v>
      </c>
      <c r="C1064" s="3">
        <v>0</v>
      </c>
    </row>
    <row r="1065" spans="2:3" hidden="1">
      <c r="B1065" s="3" t="s">
        <v>172</v>
      </c>
      <c r="C1065" s="3">
        <v>0</v>
      </c>
    </row>
    <row r="1066" spans="2:3" hidden="1">
      <c r="B1066" s="3" t="s">
        <v>173</v>
      </c>
      <c r="C1066" s="3">
        <v>0</v>
      </c>
    </row>
    <row r="1067" spans="2:3" hidden="1">
      <c r="B1067" s="3" t="s">
        <v>174</v>
      </c>
      <c r="C1067" s="3">
        <v>0</v>
      </c>
    </row>
    <row r="1068" spans="2:3" hidden="1">
      <c r="B1068" s="3" t="s">
        <v>175</v>
      </c>
      <c r="C1068" s="3">
        <v>0</v>
      </c>
    </row>
    <row r="1069" spans="2:3" hidden="1">
      <c r="B1069" s="3" t="s">
        <v>176</v>
      </c>
      <c r="C1069" s="3">
        <v>0</v>
      </c>
    </row>
    <row r="1070" spans="2:3" hidden="1">
      <c r="B1070" s="3" t="s">
        <v>177</v>
      </c>
      <c r="C1070" s="3">
        <v>0</v>
      </c>
    </row>
    <row r="1071" spans="2:3" hidden="1">
      <c r="B1071" s="3" t="s">
        <v>178</v>
      </c>
      <c r="C1071" s="3">
        <v>0</v>
      </c>
    </row>
    <row r="1072" spans="2:3" hidden="1">
      <c r="B1072" s="3" t="s">
        <v>179</v>
      </c>
      <c r="C1072" s="3">
        <v>0</v>
      </c>
    </row>
    <row r="1073" spans="2:3" hidden="1">
      <c r="B1073" s="3" t="s">
        <v>180</v>
      </c>
      <c r="C1073" s="3">
        <v>0</v>
      </c>
    </row>
    <row r="1074" spans="2:3" hidden="1">
      <c r="B1074" s="3" t="s">
        <v>181</v>
      </c>
      <c r="C1074" s="3">
        <v>0</v>
      </c>
    </row>
    <row r="1075" spans="2:3" hidden="1">
      <c r="B1075" s="3" t="s">
        <v>182</v>
      </c>
      <c r="C1075" s="3">
        <v>0</v>
      </c>
    </row>
    <row r="1076" spans="2:3" hidden="1">
      <c r="B1076" s="3" t="s">
        <v>183</v>
      </c>
      <c r="C1076" s="3">
        <v>0</v>
      </c>
    </row>
    <row r="1077" spans="2:3" hidden="1">
      <c r="B1077" s="3" t="s">
        <v>184</v>
      </c>
      <c r="C1077" s="3">
        <v>0</v>
      </c>
    </row>
    <row r="1078" spans="2:3" hidden="1">
      <c r="B1078" s="3" t="s">
        <v>185</v>
      </c>
      <c r="C1078" s="3">
        <v>0</v>
      </c>
    </row>
    <row r="1079" spans="2:3" hidden="1">
      <c r="B1079" s="3" t="s">
        <v>186</v>
      </c>
      <c r="C1079" s="3">
        <v>0</v>
      </c>
    </row>
    <row r="1080" spans="2:3" hidden="1">
      <c r="B1080" s="3" t="s">
        <v>187</v>
      </c>
      <c r="C1080" s="3">
        <v>0</v>
      </c>
    </row>
    <row r="1081" spans="2:3" hidden="1">
      <c r="B1081" s="3" t="s">
        <v>188</v>
      </c>
      <c r="C1081" s="3">
        <v>0</v>
      </c>
    </row>
    <row r="1082" spans="2:3" hidden="1">
      <c r="B1082" s="3" t="s">
        <v>189</v>
      </c>
      <c r="C1082" s="3">
        <v>0</v>
      </c>
    </row>
    <row r="1083" spans="2:3" hidden="1">
      <c r="B1083" s="3" t="s">
        <v>190</v>
      </c>
      <c r="C1083" s="3">
        <v>0</v>
      </c>
    </row>
    <row r="1084" spans="2:3" hidden="1">
      <c r="B1084" s="3" t="s">
        <v>191</v>
      </c>
      <c r="C1084" s="3" t="s">
        <v>192</v>
      </c>
    </row>
    <row r="1085" spans="2:3" hidden="1">
      <c r="B1085" s="3" t="s">
        <v>193</v>
      </c>
      <c r="C1085" s="3" t="s">
        <v>194</v>
      </c>
    </row>
    <row r="1086" spans="2:3" hidden="1">
      <c r="B1086" s="3" t="s">
        <v>195</v>
      </c>
      <c r="C1086" s="3" t="s">
        <v>196</v>
      </c>
    </row>
    <row r="1087" spans="2:3" hidden="1">
      <c r="B1087" s="3" t="s">
        <v>197</v>
      </c>
      <c r="C1087" s="3" t="s">
        <v>198</v>
      </c>
    </row>
    <row r="1088" spans="2:3" hidden="1">
      <c r="B1088" s="3" t="s">
        <v>199</v>
      </c>
      <c r="C1088" s="3" t="s">
        <v>200</v>
      </c>
    </row>
    <row r="1089" spans="2:3" hidden="1">
      <c r="B1089" s="3" t="s">
        <v>201</v>
      </c>
      <c r="C1089" s="3" t="s">
        <v>202</v>
      </c>
    </row>
    <row r="1090" spans="2:3" hidden="1">
      <c r="B1090" s="3" t="s">
        <v>203</v>
      </c>
      <c r="C1090" s="3" t="s">
        <v>204</v>
      </c>
    </row>
    <row r="1091" spans="2:3" hidden="1">
      <c r="B1091" s="3" t="s">
        <v>205</v>
      </c>
      <c r="C1091" s="3" t="s">
        <v>206</v>
      </c>
    </row>
    <row r="1092" spans="2:3" hidden="1">
      <c r="B1092" s="3" t="s">
        <v>207</v>
      </c>
      <c r="C1092" s="3" t="s">
        <v>208</v>
      </c>
    </row>
    <row r="1093" spans="2:3" hidden="1">
      <c r="B1093" s="3" t="s">
        <v>209</v>
      </c>
      <c r="C1093" s="3" t="s">
        <v>210</v>
      </c>
    </row>
    <row r="1094" spans="2:3" hidden="1">
      <c r="B1094" s="3" t="s">
        <v>211</v>
      </c>
      <c r="C1094" s="3" t="s">
        <v>212</v>
      </c>
    </row>
    <row r="1095" spans="2:3" hidden="1">
      <c r="B1095" s="3" t="s">
        <v>213</v>
      </c>
      <c r="C1095" s="3" t="s">
        <v>214</v>
      </c>
    </row>
    <row r="1096" spans="2:3" hidden="1">
      <c r="B1096" s="3" t="s">
        <v>215</v>
      </c>
      <c r="C1096" s="3" t="s">
        <v>212</v>
      </c>
    </row>
    <row r="1097" spans="2:3" hidden="1">
      <c r="B1097" s="3" t="s">
        <v>216</v>
      </c>
      <c r="C1097" s="3" t="s">
        <v>204</v>
      </c>
    </row>
    <row r="1098" spans="2:3" hidden="1">
      <c r="B1098" s="3" t="s">
        <v>217</v>
      </c>
      <c r="C1098" s="3" t="s">
        <v>192</v>
      </c>
    </row>
    <row r="1099" spans="2:3" hidden="1">
      <c r="B1099" s="3" t="s">
        <v>218</v>
      </c>
      <c r="C1099" s="3" t="s">
        <v>212</v>
      </c>
    </row>
    <row r="1100" spans="2:3" hidden="1">
      <c r="B1100" s="3" t="s">
        <v>219</v>
      </c>
      <c r="C1100" s="3" t="s">
        <v>212</v>
      </c>
    </row>
    <row r="1101" spans="2:3" hidden="1">
      <c r="B1101" s="3" t="s">
        <v>220</v>
      </c>
      <c r="C1101" s="3" t="s">
        <v>200</v>
      </c>
    </row>
    <row r="1102" spans="2:3" hidden="1">
      <c r="B1102" s="3" t="s">
        <v>221</v>
      </c>
      <c r="C1102" s="3" t="s">
        <v>222</v>
      </c>
    </row>
    <row r="1103" spans="2:3" hidden="1">
      <c r="B1103" s="3" t="s">
        <v>223</v>
      </c>
      <c r="C1103" s="3" t="s">
        <v>196</v>
      </c>
    </row>
    <row r="1104" spans="2:3" hidden="1">
      <c r="B1104" s="3" t="s">
        <v>224</v>
      </c>
      <c r="C1104" s="3" t="s">
        <v>222</v>
      </c>
    </row>
    <row r="1105" spans="2:3" hidden="1">
      <c r="B1105" s="3" t="s">
        <v>225</v>
      </c>
      <c r="C1105" s="3" t="s">
        <v>226</v>
      </c>
    </row>
    <row r="1106" spans="2:3" hidden="1">
      <c r="B1106" s="3" t="s">
        <v>227</v>
      </c>
      <c r="C1106" s="3" t="s">
        <v>228</v>
      </c>
    </row>
    <row r="1107" spans="2:3" hidden="1">
      <c r="B1107" s="3" t="s">
        <v>229</v>
      </c>
      <c r="C1107" s="3" t="s">
        <v>230</v>
      </c>
    </row>
    <row r="1108" spans="2:3" hidden="1">
      <c r="B1108" s="3" t="s">
        <v>231</v>
      </c>
      <c r="C1108" s="3" t="s">
        <v>192</v>
      </c>
    </row>
    <row r="1109" spans="2:3" hidden="1">
      <c r="B1109" s="3" t="s">
        <v>232</v>
      </c>
      <c r="C1109" s="3" t="s">
        <v>200</v>
      </c>
    </row>
    <row r="1110" spans="2:3" hidden="1">
      <c r="B1110" s="3" t="s">
        <v>233</v>
      </c>
      <c r="C1110" s="3" t="s">
        <v>234</v>
      </c>
    </row>
    <row r="1111" spans="2:3" hidden="1">
      <c r="B1111" s="3" t="s">
        <v>235</v>
      </c>
      <c r="C1111" s="3" t="s">
        <v>236</v>
      </c>
    </row>
    <row r="1112" spans="2:3" hidden="1">
      <c r="B1112" s="3" t="s">
        <v>237</v>
      </c>
      <c r="C1112" s="3">
        <v>0</v>
      </c>
    </row>
    <row r="1113" spans="2:3" hidden="1">
      <c r="B1113" s="3" t="s">
        <v>238</v>
      </c>
      <c r="C1113" s="3">
        <v>0</v>
      </c>
    </row>
    <row r="1114" spans="2:3" hidden="1">
      <c r="B1114" s="3" t="s">
        <v>239</v>
      </c>
      <c r="C1114" s="3">
        <v>0</v>
      </c>
    </row>
    <row r="1115" spans="2:3" hidden="1">
      <c r="B1115" s="3" t="s">
        <v>240</v>
      </c>
      <c r="C1115" s="3">
        <v>0</v>
      </c>
    </row>
    <row r="1116" spans="2:3" hidden="1">
      <c r="B1116" s="3" t="s">
        <v>242</v>
      </c>
      <c r="C1116" s="3">
        <v>0</v>
      </c>
    </row>
    <row r="1117" spans="2:3" hidden="1">
      <c r="B1117" s="3" t="s">
        <v>243</v>
      </c>
      <c r="C1117" s="3">
        <v>0</v>
      </c>
    </row>
    <row r="1118" spans="2:3" hidden="1">
      <c r="B1118" s="3" t="s">
        <v>244</v>
      </c>
      <c r="C1118" s="3">
        <v>0</v>
      </c>
    </row>
    <row r="1119" spans="2:3" hidden="1">
      <c r="B1119" s="3" t="s">
        <v>245</v>
      </c>
      <c r="C1119" s="3">
        <v>0</v>
      </c>
    </row>
    <row r="1120" spans="2:3" hidden="1">
      <c r="B1120" s="3" t="s">
        <v>246</v>
      </c>
      <c r="C1120" s="3">
        <v>0</v>
      </c>
    </row>
    <row r="1121" spans="2:3" hidden="1">
      <c r="B1121" s="3" t="s">
        <v>247</v>
      </c>
      <c r="C1121" s="3">
        <v>0</v>
      </c>
    </row>
    <row r="1122" spans="2:3" hidden="1">
      <c r="B1122" s="3" t="s">
        <v>248</v>
      </c>
      <c r="C1122" s="3">
        <v>0</v>
      </c>
    </row>
    <row r="1123" spans="2:3" hidden="1">
      <c r="B1123" s="3" t="s">
        <v>249</v>
      </c>
      <c r="C1123" s="3" t="s">
        <v>250</v>
      </c>
    </row>
    <row r="1124" spans="2:3" hidden="1">
      <c r="B1124" s="3" t="s">
        <v>251</v>
      </c>
      <c r="C1124" s="3">
        <v>0</v>
      </c>
    </row>
    <row r="1125" spans="2:3" hidden="1">
      <c r="B1125" s="3" t="s">
        <v>252</v>
      </c>
      <c r="C1125" s="3">
        <v>0</v>
      </c>
    </row>
    <row r="1126" spans="2:3" hidden="1">
      <c r="B1126" s="3" t="s">
        <v>253</v>
      </c>
      <c r="C1126" s="3">
        <v>0</v>
      </c>
    </row>
    <row r="1127" spans="2:3" hidden="1">
      <c r="B1127" s="3" t="s">
        <v>254</v>
      </c>
      <c r="C1127" s="3">
        <v>0</v>
      </c>
    </row>
    <row r="1128" spans="2:3" hidden="1">
      <c r="B1128" s="3" t="s">
        <v>255</v>
      </c>
      <c r="C1128" s="3">
        <v>0</v>
      </c>
    </row>
    <row r="1129" spans="2:3" hidden="1">
      <c r="B1129" s="3" t="s">
        <v>256</v>
      </c>
      <c r="C1129" s="3">
        <v>0</v>
      </c>
    </row>
    <row r="1130" spans="2:3" hidden="1">
      <c r="B1130" s="3" t="s">
        <v>257</v>
      </c>
      <c r="C1130" s="3">
        <v>0</v>
      </c>
    </row>
    <row r="1131" spans="2:3" hidden="1">
      <c r="B1131" s="3" t="s">
        <v>258</v>
      </c>
      <c r="C1131" s="3" t="s">
        <v>259</v>
      </c>
    </row>
    <row r="1132" spans="2:3" hidden="1">
      <c r="B1132" s="3" t="s">
        <v>260</v>
      </c>
      <c r="C1132" s="3">
        <v>0</v>
      </c>
    </row>
    <row r="1133" spans="2:3" hidden="1">
      <c r="B1133" s="3" t="s">
        <v>261</v>
      </c>
      <c r="C1133" s="3">
        <v>0</v>
      </c>
    </row>
    <row r="1134" spans="2:3" hidden="1">
      <c r="B1134" s="3" t="s">
        <v>262</v>
      </c>
      <c r="C1134" s="3">
        <v>0</v>
      </c>
    </row>
    <row r="1135" spans="2:3" hidden="1">
      <c r="B1135" s="3" t="s">
        <v>263</v>
      </c>
      <c r="C1135" s="3">
        <v>0</v>
      </c>
    </row>
    <row r="1136" spans="2:3" hidden="1">
      <c r="B1136" s="3" t="s">
        <v>264</v>
      </c>
      <c r="C1136" s="3">
        <v>0</v>
      </c>
    </row>
    <row r="1137" spans="2:3" hidden="1">
      <c r="B1137" s="3" t="s">
        <v>265</v>
      </c>
      <c r="C1137" s="3">
        <v>0</v>
      </c>
    </row>
    <row r="1138" spans="2:3" hidden="1">
      <c r="B1138" s="3" t="s">
        <v>266</v>
      </c>
      <c r="C1138" s="3">
        <v>0</v>
      </c>
    </row>
    <row r="1139" spans="2:3" hidden="1">
      <c r="B1139" s="3" t="s">
        <v>267</v>
      </c>
      <c r="C1139" s="3">
        <v>0</v>
      </c>
    </row>
    <row r="1140" spans="2:3" hidden="1">
      <c r="B1140" s="3" t="s">
        <v>268</v>
      </c>
      <c r="C1140" s="3">
        <v>0</v>
      </c>
    </row>
    <row r="1141" spans="2:3" hidden="1">
      <c r="B1141" s="3" t="s">
        <v>269</v>
      </c>
      <c r="C1141" s="3">
        <v>0</v>
      </c>
    </row>
    <row r="1142" spans="2:3" hidden="1">
      <c r="B1142" s="3" t="s">
        <v>270</v>
      </c>
      <c r="C1142" s="3">
        <v>0</v>
      </c>
    </row>
    <row r="1143" spans="2:3" hidden="1">
      <c r="B1143" s="3" t="s">
        <v>271</v>
      </c>
      <c r="C1143" s="3">
        <v>0</v>
      </c>
    </row>
    <row r="1144" spans="2:3" hidden="1">
      <c r="B1144" s="3" t="s">
        <v>272</v>
      </c>
      <c r="C1144" s="3">
        <v>0</v>
      </c>
    </row>
    <row r="1145" spans="2:3" hidden="1">
      <c r="B1145" s="3" t="s">
        <v>273</v>
      </c>
      <c r="C1145" s="3">
        <v>0</v>
      </c>
    </row>
    <row r="1146" spans="2:3" hidden="1">
      <c r="B1146" s="3" t="s">
        <v>274</v>
      </c>
      <c r="C1146" s="3">
        <v>0</v>
      </c>
    </row>
    <row r="1147" spans="2:3" hidden="1">
      <c r="B1147" s="3" t="s">
        <v>275</v>
      </c>
      <c r="C1147" s="3">
        <v>0</v>
      </c>
    </row>
    <row r="1148" spans="2:3" hidden="1">
      <c r="B1148" s="3" t="s">
        <v>276</v>
      </c>
      <c r="C1148" s="3">
        <v>0</v>
      </c>
    </row>
    <row r="1149" spans="2:3" hidden="1">
      <c r="B1149" s="3" t="s">
        <v>277</v>
      </c>
      <c r="C1149" s="3" t="s">
        <v>241</v>
      </c>
    </row>
    <row r="1150" spans="2:3" hidden="1">
      <c r="B1150" s="3" t="s">
        <v>278</v>
      </c>
      <c r="C1150" s="3">
        <v>0</v>
      </c>
    </row>
    <row r="1151" spans="2:3" hidden="1">
      <c r="B1151" s="3" t="s">
        <v>279</v>
      </c>
      <c r="C1151" s="3">
        <v>0</v>
      </c>
    </row>
    <row r="1152" spans="2:3" hidden="1">
      <c r="B1152" s="3" t="s">
        <v>280</v>
      </c>
      <c r="C1152" s="3">
        <v>0</v>
      </c>
    </row>
    <row r="1153" spans="2:3" hidden="1">
      <c r="B1153" s="3" t="s">
        <v>281</v>
      </c>
      <c r="C1153" s="3">
        <v>0</v>
      </c>
    </row>
    <row r="1154" spans="2:3" hidden="1">
      <c r="B1154" s="3" t="s">
        <v>282</v>
      </c>
      <c r="C1154" s="3">
        <v>0</v>
      </c>
    </row>
    <row r="1155" spans="2:3" hidden="1">
      <c r="B1155" s="3" t="s">
        <v>283</v>
      </c>
      <c r="C1155" s="3">
        <v>0</v>
      </c>
    </row>
    <row r="1156" spans="2:3" hidden="1">
      <c r="B1156" s="3" t="s">
        <v>284</v>
      </c>
      <c r="C1156" s="3">
        <v>0</v>
      </c>
    </row>
    <row r="1157" spans="2:3" hidden="1">
      <c r="B1157" s="3" t="s">
        <v>285</v>
      </c>
      <c r="C1157" s="3">
        <v>0</v>
      </c>
    </row>
    <row r="1158" spans="2:3" hidden="1">
      <c r="B1158" s="3" t="s">
        <v>286</v>
      </c>
      <c r="C1158" s="3">
        <v>0</v>
      </c>
    </row>
    <row r="1159" spans="2:3" hidden="1">
      <c r="B1159" s="3" t="s">
        <v>287</v>
      </c>
      <c r="C1159" s="3">
        <v>0</v>
      </c>
    </row>
    <row r="1160" spans="2:3" hidden="1">
      <c r="B1160" s="3" t="s">
        <v>288</v>
      </c>
      <c r="C1160" s="3">
        <v>0</v>
      </c>
    </row>
    <row r="1161" spans="2:3" hidden="1">
      <c r="B1161" s="3" t="s">
        <v>289</v>
      </c>
      <c r="C1161" s="3">
        <v>1</v>
      </c>
    </row>
    <row r="1162" spans="2:3" hidden="1">
      <c r="B1162" s="3" t="s">
        <v>290</v>
      </c>
      <c r="C1162" s="3">
        <v>0</v>
      </c>
    </row>
    <row r="1163" spans="2:3" hidden="1">
      <c r="B1163" s="3" t="s">
        <v>291</v>
      </c>
      <c r="C1163" s="3">
        <v>0</v>
      </c>
    </row>
    <row r="1164" spans="2:3" hidden="1">
      <c r="B1164" s="3" t="s">
        <v>292</v>
      </c>
      <c r="C1164" s="3">
        <v>0</v>
      </c>
    </row>
    <row r="1165" spans="2:3" hidden="1">
      <c r="B1165" s="3" t="s">
        <v>293</v>
      </c>
      <c r="C1165" s="3">
        <v>0</v>
      </c>
    </row>
    <row r="1166" spans="2:3" hidden="1">
      <c r="B1166" s="3" t="s">
        <v>294</v>
      </c>
      <c r="C1166" s="3">
        <v>0</v>
      </c>
    </row>
    <row r="1167" spans="2:3" hidden="1">
      <c r="B1167" s="3" t="s">
        <v>295</v>
      </c>
      <c r="C1167" s="3">
        <v>0</v>
      </c>
    </row>
    <row r="1168" spans="2:3" hidden="1">
      <c r="B1168" s="3" t="s">
        <v>296</v>
      </c>
      <c r="C1168" s="3">
        <v>0</v>
      </c>
    </row>
    <row r="1169" spans="2:3" hidden="1">
      <c r="B1169" s="3" t="s">
        <v>297</v>
      </c>
      <c r="C1169" s="3">
        <v>1</v>
      </c>
    </row>
    <row r="1170" spans="2:3" hidden="1">
      <c r="B1170" s="3" t="s">
        <v>298</v>
      </c>
      <c r="C1170" s="3">
        <v>0</v>
      </c>
    </row>
    <row r="1171" spans="2:3" hidden="1">
      <c r="B1171" s="3" t="s">
        <v>299</v>
      </c>
      <c r="C1171" s="3">
        <v>0</v>
      </c>
    </row>
    <row r="1172" spans="2:3" hidden="1">
      <c r="B1172" s="3" t="s">
        <v>300</v>
      </c>
      <c r="C1172" s="3">
        <v>0</v>
      </c>
    </row>
    <row r="1173" spans="2:3" hidden="1">
      <c r="B1173" s="3" t="s">
        <v>301</v>
      </c>
      <c r="C1173" s="3">
        <v>0</v>
      </c>
    </row>
    <row r="1174" spans="2:3" hidden="1">
      <c r="B1174" s="3" t="s">
        <v>302</v>
      </c>
      <c r="C1174" s="3">
        <v>0</v>
      </c>
    </row>
    <row r="1175" spans="2:3" hidden="1">
      <c r="B1175" s="3" t="s">
        <v>303</v>
      </c>
      <c r="C1175" s="3">
        <v>0</v>
      </c>
    </row>
    <row r="1176" spans="2:3" hidden="1">
      <c r="B1176" s="3" t="s">
        <v>304</v>
      </c>
      <c r="C1176" s="3">
        <v>0</v>
      </c>
    </row>
    <row r="1177" spans="2:3" hidden="1">
      <c r="B1177" s="3" t="s">
        <v>305</v>
      </c>
      <c r="C1177" s="3">
        <v>0</v>
      </c>
    </row>
    <row r="1178" spans="2:3" hidden="1">
      <c r="B1178" s="3" t="s">
        <v>306</v>
      </c>
      <c r="C1178" s="3">
        <v>0</v>
      </c>
    </row>
    <row r="1179" spans="2:3" hidden="1">
      <c r="B1179" s="3" t="s">
        <v>307</v>
      </c>
      <c r="C1179" s="3">
        <v>0</v>
      </c>
    </row>
    <row r="1180" spans="2:3" hidden="1">
      <c r="B1180" s="3" t="s">
        <v>308</v>
      </c>
      <c r="C1180" s="3">
        <v>0</v>
      </c>
    </row>
    <row r="1181" spans="2:3" hidden="1">
      <c r="B1181" s="3" t="s">
        <v>309</v>
      </c>
      <c r="C1181" s="3">
        <v>0</v>
      </c>
    </row>
    <row r="1182" spans="2:3" hidden="1">
      <c r="B1182" s="3" t="s">
        <v>310</v>
      </c>
      <c r="C1182" s="3">
        <v>0</v>
      </c>
    </row>
    <row r="1183" spans="2:3" hidden="1">
      <c r="B1183" s="3" t="s">
        <v>311</v>
      </c>
      <c r="C1183" s="3">
        <v>0</v>
      </c>
    </row>
    <row r="1184" spans="2:3" hidden="1">
      <c r="B1184" s="3" t="s">
        <v>312</v>
      </c>
      <c r="C1184" s="3">
        <v>0</v>
      </c>
    </row>
    <row r="1185" spans="2:3" hidden="1">
      <c r="B1185" s="3" t="s">
        <v>313</v>
      </c>
      <c r="C1185" s="3">
        <v>0</v>
      </c>
    </row>
    <row r="1186" spans="2:3" hidden="1">
      <c r="B1186" s="3" t="s">
        <v>314</v>
      </c>
      <c r="C1186" s="3">
        <v>0</v>
      </c>
    </row>
    <row r="1187" spans="2:3" hidden="1">
      <c r="B1187" s="3" t="s">
        <v>315</v>
      </c>
      <c r="C1187" s="3">
        <v>0</v>
      </c>
    </row>
    <row r="1188" spans="2:3" hidden="1">
      <c r="B1188" s="3" t="s">
        <v>316</v>
      </c>
      <c r="C1188" s="3">
        <v>1</v>
      </c>
    </row>
    <row r="1189" spans="2:3" hidden="1">
      <c r="B1189" s="3" t="s">
        <v>317</v>
      </c>
      <c r="C1189" s="3">
        <v>0</v>
      </c>
    </row>
    <row r="1190" spans="2:3" hidden="1">
      <c r="B1190" s="3" t="s">
        <v>318</v>
      </c>
      <c r="C1190" s="3">
        <v>0</v>
      </c>
    </row>
    <row r="1191" spans="2:3" hidden="1">
      <c r="B1191" s="3" t="s">
        <v>319</v>
      </c>
      <c r="C1191" s="3">
        <v>0</v>
      </c>
    </row>
    <row r="1192" spans="2:3" hidden="1">
      <c r="B1192" s="3" t="s">
        <v>320</v>
      </c>
      <c r="C1192" s="3">
        <v>0</v>
      </c>
    </row>
    <row r="1193" spans="2:3" hidden="1">
      <c r="B1193" s="3" t="s">
        <v>321</v>
      </c>
      <c r="C1193" s="3">
        <v>0</v>
      </c>
    </row>
    <row r="1194" spans="2:3" hidden="1">
      <c r="B1194" s="3" t="s">
        <v>322</v>
      </c>
      <c r="C1194" s="3">
        <v>0</v>
      </c>
    </row>
    <row r="1195" spans="2:3" hidden="1">
      <c r="B1195" s="3" t="s">
        <v>323</v>
      </c>
      <c r="C1195" s="3">
        <v>0</v>
      </c>
    </row>
    <row r="1196" spans="2:3" hidden="1">
      <c r="B1196" s="3" t="s">
        <v>324</v>
      </c>
      <c r="C1196" s="3">
        <v>0</v>
      </c>
    </row>
    <row r="1197" spans="2:3" hidden="1">
      <c r="B1197" s="3" t="s">
        <v>325</v>
      </c>
      <c r="C1197" s="3">
        <v>0</v>
      </c>
    </row>
    <row r="1198" spans="2:3" hidden="1">
      <c r="B1198" s="3" t="s">
        <v>326</v>
      </c>
      <c r="C1198" s="3">
        <v>0</v>
      </c>
    </row>
    <row r="1199" spans="2:3" hidden="1">
      <c r="B1199" s="3" t="s">
        <v>327</v>
      </c>
      <c r="C1199" s="3">
        <v>0</v>
      </c>
    </row>
    <row r="1200" spans="2:3" hidden="1">
      <c r="B1200" s="3" t="s">
        <v>328</v>
      </c>
      <c r="C1200" s="3">
        <v>0</v>
      </c>
    </row>
    <row r="1201" spans="2:3" hidden="1">
      <c r="B1201" s="3" t="s">
        <v>329</v>
      </c>
      <c r="C1201" s="3">
        <v>0</v>
      </c>
    </row>
    <row r="1202" spans="2:3" hidden="1">
      <c r="B1202" s="3" t="s">
        <v>330</v>
      </c>
      <c r="C1202" s="3">
        <v>0</v>
      </c>
    </row>
    <row r="1203" spans="2:3" hidden="1">
      <c r="B1203" s="3" t="s">
        <v>331</v>
      </c>
      <c r="C1203" s="3">
        <v>0</v>
      </c>
    </row>
    <row r="1204" spans="2:3" hidden="1">
      <c r="B1204" s="3" t="s">
        <v>332</v>
      </c>
      <c r="C1204" s="3">
        <v>0</v>
      </c>
    </row>
    <row r="1205" spans="2:3" hidden="1">
      <c r="B1205" s="3" t="s">
        <v>333</v>
      </c>
      <c r="C1205" s="3">
        <v>0</v>
      </c>
    </row>
    <row r="1206" spans="2:3" hidden="1">
      <c r="B1206" s="3" t="s">
        <v>334</v>
      </c>
      <c r="C1206" s="3">
        <v>0</v>
      </c>
    </row>
    <row r="1207" spans="2:3" hidden="1">
      <c r="B1207" s="3" t="s">
        <v>335</v>
      </c>
      <c r="C1207" s="3">
        <v>0</v>
      </c>
    </row>
    <row r="1208" spans="2:3" hidden="1">
      <c r="B1208" s="3" t="s">
        <v>336</v>
      </c>
      <c r="C1208" s="3">
        <v>0</v>
      </c>
    </row>
    <row r="1209" spans="2:3" hidden="1">
      <c r="B1209" s="3" t="s">
        <v>337</v>
      </c>
      <c r="C1209" s="3">
        <v>0</v>
      </c>
    </row>
    <row r="1210" spans="2:3" hidden="1">
      <c r="B1210" s="3" t="s">
        <v>338</v>
      </c>
      <c r="C1210" s="3">
        <v>0</v>
      </c>
    </row>
    <row r="1211" spans="2:3" hidden="1">
      <c r="B1211" s="3" t="s">
        <v>339</v>
      </c>
      <c r="C1211" s="3">
        <v>0</v>
      </c>
    </row>
    <row r="1212" spans="2:3" hidden="1">
      <c r="B1212" s="3" t="s">
        <v>340</v>
      </c>
      <c r="C1212" s="3">
        <v>0</v>
      </c>
    </row>
    <row r="1213" spans="2:3" hidden="1">
      <c r="B1213" s="3" t="s">
        <v>341</v>
      </c>
      <c r="C1213" s="3">
        <v>0</v>
      </c>
    </row>
    <row r="1214" spans="2:3" hidden="1">
      <c r="B1214" s="3" t="s">
        <v>342</v>
      </c>
      <c r="C1214" s="3">
        <v>0</v>
      </c>
    </row>
    <row r="1215" spans="2:3" hidden="1">
      <c r="B1215" s="3" t="s">
        <v>343</v>
      </c>
      <c r="C1215" s="3">
        <v>0</v>
      </c>
    </row>
    <row r="1216" spans="2:3" hidden="1">
      <c r="B1216" s="3" t="s">
        <v>344</v>
      </c>
      <c r="C1216" s="3">
        <v>0</v>
      </c>
    </row>
    <row r="1217" spans="2:3" hidden="1">
      <c r="B1217" s="3" t="s">
        <v>345</v>
      </c>
      <c r="C1217" s="3">
        <v>0</v>
      </c>
    </row>
    <row r="1218" spans="2:3" hidden="1">
      <c r="B1218" s="3" t="s">
        <v>346</v>
      </c>
      <c r="C1218" s="3">
        <v>0</v>
      </c>
    </row>
    <row r="1219" spans="2:3" hidden="1">
      <c r="B1219" s="3" t="s">
        <v>347</v>
      </c>
      <c r="C1219" s="3">
        <v>0</v>
      </c>
    </row>
    <row r="1220" spans="2:3" hidden="1">
      <c r="B1220" s="3" t="s">
        <v>348</v>
      </c>
      <c r="C1220" s="3">
        <v>0</v>
      </c>
    </row>
    <row r="1221" spans="2:3" hidden="1">
      <c r="B1221" s="3" t="s">
        <v>349</v>
      </c>
      <c r="C1221" s="3">
        <v>0</v>
      </c>
    </row>
    <row r="1222" spans="2:3" hidden="1">
      <c r="B1222" s="3" t="s">
        <v>350</v>
      </c>
      <c r="C1222" s="3">
        <v>0</v>
      </c>
    </row>
    <row r="1223" spans="2:3" hidden="1">
      <c r="B1223" s="3" t="s">
        <v>351</v>
      </c>
      <c r="C1223" s="3">
        <v>0</v>
      </c>
    </row>
    <row r="1224" spans="2:3" hidden="1">
      <c r="B1224" s="3" t="s">
        <v>352</v>
      </c>
      <c r="C1224" s="3">
        <v>0</v>
      </c>
    </row>
    <row r="1225" spans="2:3" hidden="1">
      <c r="B1225" s="3" t="s">
        <v>353</v>
      </c>
      <c r="C1225" s="3">
        <v>0</v>
      </c>
    </row>
    <row r="1226" spans="2:3" hidden="1">
      <c r="B1226" s="3" t="s">
        <v>354</v>
      </c>
      <c r="C1226" s="3">
        <v>0</v>
      </c>
    </row>
    <row r="1227" spans="2:3" hidden="1">
      <c r="B1227" s="3" t="s">
        <v>355</v>
      </c>
      <c r="C1227" s="3">
        <v>0</v>
      </c>
    </row>
    <row r="1228" spans="2:3" hidden="1">
      <c r="B1228" s="3" t="s">
        <v>356</v>
      </c>
      <c r="C1228" s="3">
        <v>0</v>
      </c>
    </row>
    <row r="1229" spans="2:3" hidden="1">
      <c r="B1229" s="3" t="s">
        <v>357</v>
      </c>
      <c r="C1229" s="3">
        <v>0</v>
      </c>
    </row>
  </sheetData>
  <sheetProtection sheet="1" objects="1" scenarios="1"/>
  <protectedRanges>
    <protectedRange sqref="D3 C6:E6 D5:E5 F7:F8 E9 D13:E13 D15:D17 D19 D21:D25 E21:E24 F18 F26:F27 D32 F33 D38 F40 E54:F57 B54:B57 B63:D73" name="Grey cells"/>
  </protectedRanges>
  <mergeCells count="9">
    <mergeCell ref="B2:F2"/>
    <mergeCell ref="I4:P4"/>
    <mergeCell ref="H5:H12"/>
    <mergeCell ref="B52:F52"/>
    <mergeCell ref="B60:B61"/>
    <mergeCell ref="C60:C61"/>
    <mergeCell ref="E60:E61"/>
    <mergeCell ref="F60:F61"/>
    <mergeCell ref="I60:I61"/>
  </mergeCells>
  <conditionalFormatting sqref="B72:C72">
    <cfRule type="expression" dxfId="41" priority="11" stopIfTrue="1">
      <formula>MID($B72,1,4)="Rent"</formula>
    </cfRule>
  </conditionalFormatting>
  <conditionalFormatting sqref="C31:D32">
    <cfRule type="expression" dxfId="40" priority="6">
      <formula>#REF!="yes"</formula>
    </cfRule>
  </conditionalFormatting>
  <conditionalFormatting sqref="D4">
    <cfRule type="expression" dxfId="39" priority="10">
      <formula>$F$1="no"</formula>
    </cfRule>
  </conditionalFormatting>
  <conditionalFormatting sqref="D12">
    <cfRule type="expression" dxfId="38" priority="9">
      <formula>#REF!="no"</formula>
    </cfRule>
  </conditionalFormatting>
  <conditionalFormatting sqref="D33 C34:E34">
    <cfRule type="expression" dxfId="37" priority="12">
      <formula>#REF!="yes"</formula>
    </cfRule>
  </conditionalFormatting>
  <conditionalFormatting sqref="D13:E30">
    <cfRule type="expression" dxfId="36" priority="1">
      <formula>#REF!="yes"</formula>
    </cfRule>
  </conditionalFormatting>
  <dataValidations count="1">
    <dataValidation type="list" allowBlank="1" showInputMessage="1" showErrorMessage="1" sqref="F1" xr:uid="{64C0261D-668E-4E3B-9312-16405D49BE83}">
      <formula1>"Yes, No"</formula1>
    </dataValidation>
  </dataValidations>
  <pageMargins left="0.7" right="0.7" top="0.75" bottom="0.75" header="0.3" footer="0.3"/>
  <pageSetup scale="67"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B7EFCB35-9F4A-4606-91A8-3F6917581B9F}">
          <x14:formula1>
            <xm:f>'Machinery Input Tables'!$C$133:$C$184</xm:f>
          </x14:formula1>
          <xm:sqref>B54:B57</xm:sqref>
        </x14:dataValidation>
        <x14:dataValidation type="list" allowBlank="1" showInputMessage="1" showErrorMessage="1" xr:uid="{7BB853A7-C7D5-4240-A94A-54A4320B9387}">
          <x14:formula1>
            <xm:f>'Machinery Input Tables'!$B$6:$B$121</xm:f>
          </x14:formula1>
          <xm:sqref>B63:B73</xm:sqref>
        </x14:dataValidation>
        <x14:dataValidation type="list" allowBlank="1" showInputMessage="1" showErrorMessage="1" xr:uid="{64B350DD-B3FA-4974-831A-255C2F5C21A9}">
          <x14:formula1>
            <xm:f>'Machinery Input Tables'!$AH$6:$AH$32</xm:f>
          </x14:formula1>
          <xm:sqref>C63:C73</xm:sqref>
        </x14:dataValidation>
        <x14:dataValidation type="list" allowBlank="1" showInputMessage="1" showErrorMessage="1" xr:uid="{4185A07C-A7CB-4AC2-B2AF-45B116B7711C}">
          <x14:formula1>
            <xm:f>'Irrigation costs'!$D$2:$G$2</xm:f>
          </x14:formula1>
          <xm:sqref>D3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DA01D-9237-4209-B767-92C1901D7201}">
  <dimension ref="A1:Q1229"/>
  <sheetViews>
    <sheetView showGridLines="0" zoomScaleNormal="100" workbookViewId="0">
      <selection activeCell="I3" sqref="I3:N3"/>
    </sheetView>
  </sheetViews>
  <sheetFormatPr defaultColWidth="0" defaultRowHeight="16.5" zeroHeight="1"/>
  <cols>
    <col min="1" max="1" width="3.125" style="3" customWidth="1"/>
    <col min="2" max="2" width="34.875" style="3" customWidth="1"/>
    <col min="3" max="3" width="20.25" style="3" customWidth="1"/>
    <col min="4" max="5" width="14" style="3" customWidth="1"/>
    <col min="6" max="6" width="12.625" style="3" customWidth="1"/>
    <col min="7" max="7" width="11.75" style="3" customWidth="1"/>
    <col min="8" max="9" width="9" style="3" customWidth="1"/>
    <col min="10" max="10" width="11.625" style="3" customWidth="1"/>
    <col min="11" max="11" width="10.625" style="3" customWidth="1"/>
    <col min="12" max="14" width="9" style="3" customWidth="1"/>
    <col min="15" max="15" width="9.5" style="3" bestFit="1" customWidth="1"/>
    <col min="16" max="16" width="9" style="3" customWidth="1"/>
    <col min="17" max="17" width="3.125" style="3" customWidth="1"/>
    <col min="18" max="16384" width="9" style="3" hidden="1"/>
  </cols>
  <sheetData>
    <row r="1" spans="2:16">
      <c r="F1" s="32"/>
    </row>
    <row r="2" spans="2:16" ht="20.25" customHeight="1">
      <c r="B2" s="299" t="s">
        <v>925</v>
      </c>
      <c r="C2" s="299"/>
      <c r="D2" s="299"/>
      <c r="E2" s="299"/>
      <c r="F2" s="299"/>
      <c r="G2" s="4"/>
    </row>
    <row r="3" spans="2:16" ht="17.25">
      <c r="B3" s="33" t="s">
        <v>687</v>
      </c>
      <c r="C3" s="34"/>
      <c r="D3" s="143" t="s">
        <v>688</v>
      </c>
      <c r="E3" s="34"/>
      <c r="F3" s="36"/>
      <c r="G3" s="37"/>
      <c r="H3" s="38"/>
      <c r="I3" s="39" t="s">
        <v>800</v>
      </c>
      <c r="J3" s="38"/>
      <c r="K3" s="38"/>
      <c r="L3" s="38"/>
      <c r="M3" s="38"/>
      <c r="N3" s="38"/>
      <c r="O3" s="38"/>
      <c r="P3" s="38"/>
    </row>
    <row r="4" spans="2:16" ht="17.25">
      <c r="B4" s="40" t="s">
        <v>370</v>
      </c>
      <c r="C4" s="40" t="s">
        <v>556</v>
      </c>
      <c r="D4" s="41" t="s">
        <v>25</v>
      </c>
      <c r="E4" s="41" t="s">
        <v>854</v>
      </c>
      <c r="F4" s="41" t="s">
        <v>855</v>
      </c>
      <c r="G4" s="37"/>
      <c r="H4" s="42"/>
      <c r="I4" s="300" t="s">
        <v>6</v>
      </c>
      <c r="J4" s="300"/>
      <c r="K4" s="300"/>
      <c r="L4" s="300"/>
      <c r="M4" s="300"/>
      <c r="N4" s="300"/>
      <c r="O4" s="300"/>
      <c r="P4" s="300"/>
    </row>
    <row r="5" spans="2:16" ht="16.5" customHeight="1">
      <c r="B5" s="43" t="s">
        <v>20</v>
      </c>
      <c r="C5" s="187" t="s">
        <v>686</v>
      </c>
      <c r="D5" s="190">
        <v>5700</v>
      </c>
      <c r="E5" s="77">
        <v>0.24299999999999999</v>
      </c>
      <c r="F5" s="46">
        <f>D5*E5</f>
        <v>1385.1</v>
      </c>
      <c r="G5" s="47" t="s">
        <v>40</v>
      </c>
      <c r="H5" s="301" t="s">
        <v>799</v>
      </c>
      <c r="I5" s="48"/>
      <c r="J5" s="49">
        <f>0.7*$D$5</f>
        <v>3989.9999999999995</v>
      </c>
      <c r="K5" s="49">
        <f>0.8*$D$5</f>
        <v>4560</v>
      </c>
      <c r="L5" s="49">
        <f>0.9*$D$5</f>
        <v>5130</v>
      </c>
      <c r="M5" s="50">
        <f>1*$D$5</f>
        <v>5700</v>
      </c>
      <c r="N5" s="49">
        <f>1.1*$D$5</f>
        <v>6270.0000000000009</v>
      </c>
      <c r="O5" s="49">
        <f>1.2*$D$5</f>
        <v>6840</v>
      </c>
      <c r="P5" s="51">
        <f>1.3*$D$5</f>
        <v>7410</v>
      </c>
    </row>
    <row r="6" spans="2:16" ht="17.25">
      <c r="B6" s="43" t="s">
        <v>22</v>
      </c>
      <c r="C6" s="52"/>
      <c r="D6" s="53"/>
      <c r="E6" s="58"/>
      <c r="F6" s="46">
        <f>D6*E6</f>
        <v>0</v>
      </c>
      <c r="G6" s="54"/>
      <c r="H6" s="301"/>
      <c r="I6" s="55">
        <f>0.7*$E$5</f>
        <v>0.17009999999999997</v>
      </c>
      <c r="J6" s="56">
        <f t="shared" ref="J6:P12" si="0">(J$5*($I6-$E$9/2000)+SUM($F$6:$F$8)-((J$5*($I6-$E$9/2000)+SUM($F$6:$F$8))/$F$10*$F$38)-SUM($F$13:$F$14,$F$20,$F$25,$F$26:$F$31,$F$33:$F$34,$F$39))</f>
        <v>-93.885013525550562</v>
      </c>
      <c r="K6" s="56">
        <f t="shared" si="0"/>
        <v>-4.4531535255504195</v>
      </c>
      <c r="L6" s="56">
        <f t="shared" si="0"/>
        <v>84.978706474449609</v>
      </c>
      <c r="M6" s="56">
        <f t="shared" si="0"/>
        <v>174.41056647444952</v>
      </c>
      <c r="N6" s="56">
        <f t="shared" si="0"/>
        <v>263.84242647444944</v>
      </c>
      <c r="O6" s="56">
        <f t="shared" si="0"/>
        <v>353.27428647444958</v>
      </c>
      <c r="P6" s="56">
        <f t="shared" si="0"/>
        <v>442.7061464744495</v>
      </c>
    </row>
    <row r="7" spans="2:16" ht="17.25">
      <c r="B7" s="57" t="s">
        <v>23</v>
      </c>
      <c r="C7" s="34"/>
      <c r="D7" s="57"/>
      <c r="E7" s="34"/>
      <c r="F7" s="58">
        <v>48</v>
      </c>
      <c r="G7" s="54"/>
      <c r="H7" s="301"/>
      <c r="I7" s="55">
        <f>0.8*$E$5</f>
        <v>0.19440000000000002</v>
      </c>
      <c r="J7" s="56">
        <f t="shared" si="0"/>
        <v>1.1328464744497069</v>
      </c>
      <c r="K7" s="56">
        <f t="shared" si="0"/>
        <v>104.13868647444974</v>
      </c>
      <c r="L7" s="56">
        <f t="shared" si="0"/>
        <v>207.14452647444978</v>
      </c>
      <c r="M7" s="56">
        <f t="shared" si="0"/>
        <v>310.15036647444981</v>
      </c>
      <c r="N7" s="56">
        <f t="shared" si="0"/>
        <v>413.15620647445007</v>
      </c>
      <c r="O7" s="56">
        <f t="shared" si="0"/>
        <v>516.16204647444988</v>
      </c>
      <c r="P7" s="56">
        <f t="shared" si="0"/>
        <v>619.16788647444969</v>
      </c>
    </row>
    <row r="8" spans="2:16" ht="17.25">
      <c r="B8" s="57" t="s">
        <v>24</v>
      </c>
      <c r="C8" s="34"/>
      <c r="D8" s="57"/>
      <c r="E8" s="34"/>
      <c r="F8" s="58">
        <v>0</v>
      </c>
      <c r="G8" s="54"/>
      <c r="H8" s="301"/>
      <c r="I8" s="55">
        <f>0.9*$E$5</f>
        <v>0.21870000000000001</v>
      </c>
      <c r="J8" s="56">
        <f t="shared" si="0"/>
        <v>96.150706474449635</v>
      </c>
      <c r="K8" s="56">
        <f t="shared" si="0"/>
        <v>212.73052647444979</v>
      </c>
      <c r="L8" s="56">
        <f t="shared" si="0"/>
        <v>329.31034647444972</v>
      </c>
      <c r="M8" s="56">
        <f t="shared" si="0"/>
        <v>445.89016647444964</v>
      </c>
      <c r="N8" s="56">
        <f t="shared" si="0"/>
        <v>562.46998647445002</v>
      </c>
      <c r="O8" s="56">
        <f t="shared" si="0"/>
        <v>679.04980647444972</v>
      </c>
      <c r="P8" s="56">
        <f t="shared" si="0"/>
        <v>795.62962647444965</v>
      </c>
    </row>
    <row r="9" spans="2:16" ht="17.25">
      <c r="B9" s="73" t="s">
        <v>701</v>
      </c>
      <c r="C9" s="84" t="s">
        <v>859</v>
      </c>
      <c r="D9" s="188">
        <f>D5/2000</f>
        <v>2.85</v>
      </c>
      <c r="E9" s="77">
        <v>20</v>
      </c>
      <c r="F9" s="186">
        <f>-D9*E9</f>
        <v>-57</v>
      </c>
      <c r="G9" s="54"/>
      <c r="H9" s="301"/>
      <c r="I9" s="64">
        <f>1*$E$5</f>
        <v>0.24299999999999999</v>
      </c>
      <c r="J9" s="56">
        <f t="shared" si="0"/>
        <v>191.16856647444956</v>
      </c>
      <c r="K9" s="56">
        <f t="shared" si="0"/>
        <v>321.32236647444984</v>
      </c>
      <c r="L9" s="56">
        <f t="shared" si="0"/>
        <v>451.47616647444966</v>
      </c>
      <c r="M9" s="65">
        <f>(M$5*($I9-$E$9/2000)+SUM($F$6:$F$8)-((M$5*($I9-$E$9/2000)+SUM($F$6:$F$8))/$F$10*$F$38)-SUM($F$13:$F$14,$F$20,$F$25,$F$26:$F$31,$F$33:$F$34,$F$39))</f>
        <v>581.6299664744497</v>
      </c>
      <c r="N9" s="56">
        <f t="shared" si="0"/>
        <v>711.78376647444975</v>
      </c>
      <c r="O9" s="56">
        <f t="shared" si="0"/>
        <v>841.93756647444957</v>
      </c>
      <c r="P9" s="56">
        <f t="shared" si="0"/>
        <v>972.09136647444961</v>
      </c>
    </row>
    <row r="10" spans="2:16" ht="17.25">
      <c r="B10" s="60" t="s">
        <v>373</v>
      </c>
      <c r="C10" s="34"/>
      <c r="D10" s="61"/>
      <c r="E10" s="61"/>
      <c r="F10" s="62">
        <f>SUM(F5:F9)</f>
        <v>1376.1</v>
      </c>
      <c r="G10" s="63"/>
      <c r="H10" s="301"/>
      <c r="I10" s="55">
        <f>1.1*$E$5</f>
        <v>0.26730000000000004</v>
      </c>
      <c r="J10" s="56">
        <f t="shared" si="0"/>
        <v>286.18642647444972</v>
      </c>
      <c r="K10" s="56">
        <f t="shared" si="0"/>
        <v>429.91420647444988</v>
      </c>
      <c r="L10" s="56">
        <f t="shared" si="0"/>
        <v>573.64198647444982</v>
      </c>
      <c r="M10" s="56">
        <f t="shared" si="0"/>
        <v>717.36976647444976</v>
      </c>
      <c r="N10" s="56">
        <f t="shared" si="0"/>
        <v>861.09754647445016</v>
      </c>
      <c r="O10" s="56">
        <f t="shared" si="0"/>
        <v>1004.8253264744499</v>
      </c>
      <c r="P10" s="56">
        <f t="shared" si="0"/>
        <v>1148.55310647445</v>
      </c>
    </row>
    <row r="11" spans="2:16" ht="17.25">
      <c r="B11" s="60"/>
      <c r="C11" s="34"/>
      <c r="D11" s="61"/>
      <c r="E11" s="61"/>
      <c r="F11" s="66"/>
      <c r="G11" s="63"/>
      <c r="H11" s="301"/>
      <c r="I11" s="55">
        <f>1.2*$E$5</f>
        <v>0.29159999999999997</v>
      </c>
      <c r="J11" s="56">
        <f t="shared" si="0"/>
        <v>381.20428647444942</v>
      </c>
      <c r="K11" s="56">
        <f t="shared" si="0"/>
        <v>538.50604647444948</v>
      </c>
      <c r="L11" s="56">
        <f t="shared" si="0"/>
        <v>695.80780647444954</v>
      </c>
      <c r="M11" s="56">
        <f t="shared" si="0"/>
        <v>853.10956647444959</v>
      </c>
      <c r="N11" s="56">
        <f t="shared" si="0"/>
        <v>1010.4113264744499</v>
      </c>
      <c r="O11" s="56">
        <f t="shared" si="0"/>
        <v>1167.7130864744495</v>
      </c>
      <c r="P11" s="56">
        <f t="shared" si="0"/>
        <v>1325.0148464744493</v>
      </c>
    </row>
    <row r="12" spans="2:16" ht="17.25">
      <c r="B12" s="67" t="s">
        <v>856</v>
      </c>
      <c r="C12" s="40" t="s">
        <v>556</v>
      </c>
      <c r="D12" s="41" t="s">
        <v>25</v>
      </c>
      <c r="E12" s="41" t="s">
        <v>854</v>
      </c>
      <c r="F12" s="41" t="s">
        <v>855</v>
      </c>
      <c r="G12" s="63"/>
      <c r="H12" s="301"/>
      <c r="I12" s="70">
        <f>1.3*$E$5</f>
        <v>0.31590000000000001</v>
      </c>
      <c r="J12" s="56">
        <f t="shared" si="0"/>
        <v>476.22214647444957</v>
      </c>
      <c r="K12" s="56">
        <f t="shared" si="0"/>
        <v>647.09788647444975</v>
      </c>
      <c r="L12" s="56">
        <f t="shared" si="0"/>
        <v>817.9736264744497</v>
      </c>
      <c r="M12" s="56">
        <f t="shared" si="0"/>
        <v>988.84936647444988</v>
      </c>
      <c r="N12" s="56">
        <f t="shared" si="0"/>
        <v>1159.7251064744501</v>
      </c>
      <c r="O12" s="56">
        <f t="shared" si="0"/>
        <v>1330.60084647445</v>
      </c>
      <c r="P12" s="56">
        <f t="shared" si="0"/>
        <v>1501.47658647445</v>
      </c>
    </row>
    <row r="13" spans="2:16">
      <c r="B13" s="57" t="s">
        <v>14</v>
      </c>
      <c r="C13" s="7" t="s">
        <v>686</v>
      </c>
      <c r="D13" s="68">
        <v>150</v>
      </c>
      <c r="E13" s="69">
        <v>1625</v>
      </c>
      <c r="F13" s="46">
        <f>E13*D13/H16</f>
        <v>121.875</v>
      </c>
      <c r="G13" s="63"/>
      <c r="H13" s="72"/>
    </row>
    <row r="14" spans="2:16">
      <c r="B14" s="57" t="s">
        <v>26</v>
      </c>
      <c r="C14" s="7"/>
      <c r="D14" s="34"/>
      <c r="E14" s="71"/>
      <c r="F14" s="46">
        <f>SUMPRODUCT(D15:D19,E15:E19)+F18</f>
        <v>122.44999999999999</v>
      </c>
      <c r="G14" s="63"/>
      <c r="H14" s="72"/>
    </row>
    <row r="15" spans="2:16">
      <c r="B15" s="73" t="s">
        <v>27</v>
      </c>
      <c r="C15" s="7" t="s">
        <v>686</v>
      </c>
      <c r="D15" s="45">
        <v>0</v>
      </c>
      <c r="E15" s="71">
        <f>'Input prices'!D4</f>
        <v>0.7</v>
      </c>
      <c r="F15" s="46"/>
      <c r="G15" s="63"/>
      <c r="H15" s="74" t="s">
        <v>884</v>
      </c>
      <c r="I15"/>
      <c r="J15" s="75"/>
    </row>
    <row r="16" spans="2:16">
      <c r="B16" s="73" t="s">
        <v>28</v>
      </c>
      <c r="C16" s="7" t="s">
        <v>686</v>
      </c>
      <c r="D16" s="45">
        <v>65</v>
      </c>
      <c r="E16" s="71">
        <f>'Input prices'!D5</f>
        <v>0.73</v>
      </c>
      <c r="F16" s="46"/>
      <c r="G16" s="63"/>
      <c r="H16" s="74">
        <v>2000</v>
      </c>
      <c r="I16"/>
      <c r="K16" s="76"/>
    </row>
    <row r="17" spans="2:11">
      <c r="B17" s="73" t="s">
        <v>8</v>
      </c>
      <c r="C17" s="7" t="s">
        <v>686</v>
      </c>
      <c r="D17" s="45">
        <v>100</v>
      </c>
      <c r="E17" s="71">
        <f>'Input prices'!D6</f>
        <v>0.42</v>
      </c>
      <c r="F17" s="46"/>
      <c r="G17" s="63"/>
      <c r="H17" s="72"/>
      <c r="I17" s="1"/>
      <c r="K17" s="76"/>
    </row>
    <row r="18" spans="2:11">
      <c r="B18" s="73" t="s">
        <v>690</v>
      </c>
      <c r="C18" s="7"/>
      <c r="D18" s="34"/>
      <c r="E18" s="71"/>
      <c r="F18" s="77">
        <v>15.5</v>
      </c>
      <c r="G18" s="63"/>
      <c r="H18" s="72"/>
      <c r="I18" s="9"/>
      <c r="K18" s="79"/>
    </row>
    <row r="19" spans="2:11">
      <c r="B19" s="73" t="s">
        <v>9</v>
      </c>
      <c r="C19" s="7" t="s">
        <v>859</v>
      </c>
      <c r="D19" s="45">
        <v>0.5</v>
      </c>
      <c r="E19" s="71">
        <f>'Input prices'!D7</f>
        <v>35</v>
      </c>
      <c r="F19" s="78"/>
      <c r="G19" s="63"/>
      <c r="H19" s="72"/>
      <c r="I19" s="9"/>
      <c r="K19" s="79"/>
    </row>
    <row r="20" spans="2:11">
      <c r="B20" s="57" t="s">
        <v>29</v>
      </c>
      <c r="C20" s="7"/>
      <c r="D20" s="34"/>
      <c r="E20" s="71"/>
      <c r="F20" s="46">
        <f>SUMPRODUCT(D21:D24,E21:E24)</f>
        <v>148</v>
      </c>
      <c r="G20" s="37"/>
      <c r="H20" s="72"/>
      <c r="I20" s="9"/>
      <c r="K20" s="79"/>
    </row>
    <row r="21" spans="2:11">
      <c r="B21" s="73" t="s">
        <v>15</v>
      </c>
      <c r="C21" s="7" t="s">
        <v>860</v>
      </c>
      <c r="D21" s="45">
        <v>2</v>
      </c>
      <c r="E21" s="69">
        <v>21</v>
      </c>
      <c r="F21" s="46"/>
      <c r="G21" s="37"/>
      <c r="H21" s="72"/>
      <c r="I21" s="9"/>
      <c r="K21" s="79"/>
    </row>
    <row r="22" spans="2:11">
      <c r="B22" s="73" t="s">
        <v>691</v>
      </c>
      <c r="C22" s="7" t="s">
        <v>860</v>
      </c>
      <c r="D22" s="45">
        <v>2</v>
      </c>
      <c r="E22" s="69">
        <v>15</v>
      </c>
      <c r="F22" s="46"/>
      <c r="G22" s="37"/>
      <c r="H22" s="72"/>
      <c r="I22" s="9"/>
      <c r="K22" s="79"/>
    </row>
    <row r="23" spans="2:11">
      <c r="B23" s="73" t="s">
        <v>692</v>
      </c>
      <c r="C23" s="7" t="s">
        <v>860</v>
      </c>
      <c r="D23" s="45">
        <v>2</v>
      </c>
      <c r="E23" s="69">
        <v>21</v>
      </c>
      <c r="F23" s="46"/>
      <c r="G23" s="63"/>
      <c r="H23" s="72"/>
      <c r="I23" s="9"/>
      <c r="K23" s="79"/>
    </row>
    <row r="24" spans="2:11">
      <c r="B24" s="73" t="s">
        <v>879</v>
      </c>
      <c r="C24" s="7" t="s">
        <v>860</v>
      </c>
      <c r="D24" s="45">
        <v>2</v>
      </c>
      <c r="E24" s="69">
        <v>17</v>
      </c>
      <c r="F24" s="46"/>
      <c r="G24" s="63"/>
      <c r="H24" s="72"/>
      <c r="I24" s="9"/>
      <c r="K24" s="80"/>
    </row>
    <row r="25" spans="2:11">
      <c r="B25" s="57" t="s">
        <v>359</v>
      </c>
      <c r="C25" s="7" t="s">
        <v>861</v>
      </c>
      <c r="D25" s="45">
        <v>15</v>
      </c>
      <c r="E25" s="71">
        <f>IFERROR(HLOOKUP($D$3,'Irrigation costs'!$D$2:$F$17,15,FALSE),0)</f>
        <v>2.3899999999999997</v>
      </c>
      <c r="F25" s="46">
        <f>D25*E25</f>
        <v>35.849999999999994</v>
      </c>
      <c r="G25" s="63"/>
      <c r="H25" s="72"/>
      <c r="I25" s="9"/>
      <c r="K25" s="79"/>
    </row>
    <row r="26" spans="2:11">
      <c r="B26" s="57" t="s">
        <v>30</v>
      </c>
      <c r="C26" s="7"/>
      <c r="D26" s="34"/>
      <c r="E26" s="71"/>
      <c r="F26" s="58">
        <v>8.5</v>
      </c>
      <c r="G26" s="63"/>
      <c r="H26" s="72"/>
      <c r="I26" s="9"/>
      <c r="K26" s="82"/>
    </row>
    <row r="27" spans="2:11">
      <c r="B27" s="57" t="s">
        <v>31</v>
      </c>
      <c r="C27" s="7"/>
      <c r="D27" s="34"/>
      <c r="E27" s="71"/>
      <c r="F27" s="58">
        <v>36</v>
      </c>
      <c r="G27" s="63"/>
      <c r="H27" s="72"/>
      <c r="I27" s="9"/>
      <c r="K27" s="82"/>
    </row>
    <row r="28" spans="2:11">
      <c r="B28" s="57" t="s">
        <v>32</v>
      </c>
      <c r="C28" s="7" t="s">
        <v>654</v>
      </c>
      <c r="D28" s="34"/>
      <c r="E28" s="71"/>
      <c r="F28" s="83">
        <f>G58</f>
        <v>19.971</v>
      </c>
      <c r="G28" s="63"/>
      <c r="H28" s="72"/>
      <c r="I28" s="9"/>
      <c r="K28" s="82"/>
    </row>
    <row r="29" spans="2:11">
      <c r="B29" s="57" t="s">
        <v>808</v>
      </c>
      <c r="C29" s="7" t="s">
        <v>863</v>
      </c>
      <c r="D29" s="34">
        <f>F74</f>
        <v>1.0076171023965141</v>
      </c>
      <c r="E29" s="71">
        <f>'Input prices'!D8</f>
        <v>22.5</v>
      </c>
      <c r="F29" s="83">
        <f>E29*D29</f>
        <v>22.671384803921569</v>
      </c>
      <c r="G29" s="63"/>
      <c r="H29" s="72"/>
      <c r="I29" s="9"/>
      <c r="K29" s="76"/>
    </row>
    <row r="30" spans="2:11">
      <c r="B30" s="57" t="s">
        <v>702</v>
      </c>
      <c r="C30" s="7" t="s">
        <v>864</v>
      </c>
      <c r="D30" s="34">
        <f>E74</f>
        <v>8.9630068082788661</v>
      </c>
      <c r="E30" s="71">
        <f>'Input prices'!D9</f>
        <v>2.9</v>
      </c>
      <c r="F30" s="83">
        <f>D30*E30</f>
        <v>25.99271974400871</v>
      </c>
      <c r="G30" s="63"/>
      <c r="H30" s="72"/>
      <c r="I30" s="9"/>
      <c r="K30" s="86"/>
    </row>
    <row r="31" spans="2:11">
      <c r="B31" s="57" t="s">
        <v>33</v>
      </c>
      <c r="C31" s="84" t="s">
        <v>654</v>
      </c>
      <c r="D31" s="85"/>
      <c r="E31" s="34"/>
      <c r="F31" s="83">
        <f>G74-F30-F29</f>
        <v>46.782587386952073</v>
      </c>
      <c r="G31" s="63"/>
      <c r="H31" s="72"/>
      <c r="I31" s="9"/>
      <c r="K31" s="87"/>
    </row>
    <row r="32" spans="2:11">
      <c r="B32" s="57" t="s">
        <v>366</v>
      </c>
      <c r="C32" s="84" t="s">
        <v>865</v>
      </c>
      <c r="D32" s="197">
        <v>0.03</v>
      </c>
      <c r="E32" s="34"/>
      <c r="F32" s="83">
        <f>F10*D32</f>
        <v>41.282999999999994</v>
      </c>
      <c r="G32" s="63"/>
      <c r="H32" s="72"/>
    </row>
    <row r="33" spans="2:8">
      <c r="B33" s="57" t="s">
        <v>34</v>
      </c>
      <c r="C33" s="7" t="s">
        <v>654</v>
      </c>
      <c r="D33" s="85"/>
      <c r="E33" s="34"/>
      <c r="F33" s="58">
        <v>0</v>
      </c>
      <c r="G33" s="63"/>
      <c r="H33" s="72"/>
    </row>
    <row r="34" spans="2:8">
      <c r="B34" s="57" t="s">
        <v>11</v>
      </c>
      <c r="C34" s="84" t="s">
        <v>866</v>
      </c>
      <c r="D34" s="88">
        <f>SUM(F13:F14,F20,F26:F33)/2</f>
        <v>296.76284596744119</v>
      </c>
      <c r="E34" s="89">
        <f>'Input prices'!D10</f>
        <v>7.2499999999999995E-2</v>
      </c>
      <c r="F34" s="90">
        <f>E34*D34</f>
        <v>21.515306332639486</v>
      </c>
      <c r="G34" s="91"/>
      <c r="H34" s="72"/>
    </row>
    <row r="35" spans="2:8">
      <c r="B35" s="60" t="s">
        <v>372</v>
      </c>
      <c r="C35" s="92"/>
      <c r="D35" s="61"/>
      <c r="E35" s="34"/>
      <c r="F35" s="62">
        <f>SUM(F13:F14,F20,F25:F34)</f>
        <v>650.89099826752181</v>
      </c>
      <c r="G35" s="63"/>
      <c r="H35" s="72"/>
    </row>
    <row r="36" spans="2:8">
      <c r="B36" s="36"/>
      <c r="C36" s="92"/>
      <c r="D36" s="61"/>
      <c r="E36" s="34"/>
      <c r="F36" s="36"/>
      <c r="G36" s="63"/>
      <c r="H36" s="72"/>
    </row>
    <row r="37" spans="2:8" ht="17.25">
      <c r="B37" s="67" t="s">
        <v>867</v>
      </c>
      <c r="C37" s="40" t="s">
        <v>556</v>
      </c>
      <c r="D37" s="41" t="s">
        <v>25</v>
      </c>
      <c r="E37" s="41" t="s">
        <v>854</v>
      </c>
      <c r="F37" s="41" t="s">
        <v>855</v>
      </c>
      <c r="G37" s="63"/>
      <c r="H37" s="72"/>
    </row>
    <row r="38" spans="2:8">
      <c r="B38" s="57" t="s">
        <v>18</v>
      </c>
      <c r="C38" s="84" t="s">
        <v>865</v>
      </c>
      <c r="D38" s="197">
        <v>0.02</v>
      </c>
      <c r="E38" s="34"/>
      <c r="F38" s="46">
        <f>D38*F10</f>
        <v>27.521999999999998</v>
      </c>
      <c r="G38" s="63"/>
      <c r="H38" s="72"/>
    </row>
    <row r="39" spans="2:8">
      <c r="B39" s="57" t="s">
        <v>376</v>
      </c>
      <c r="C39" s="84" t="s">
        <v>654</v>
      </c>
      <c r="D39" s="61"/>
      <c r="E39" s="34"/>
      <c r="F39" s="46">
        <f>H74+HLOOKUP(D3,'Irrigation costs'!$D$2:$G$17,14, FALSE)</f>
        <v>157.34003525802854</v>
      </c>
      <c r="G39" s="63"/>
      <c r="H39" s="72"/>
    </row>
    <row r="40" spans="2:8">
      <c r="B40" s="57" t="s">
        <v>35</v>
      </c>
      <c r="C40" s="84" t="s">
        <v>654</v>
      </c>
      <c r="D40" s="61"/>
      <c r="E40" s="34"/>
      <c r="F40" s="93">
        <v>225</v>
      </c>
      <c r="G40" s="91"/>
      <c r="H40" s="72"/>
    </row>
    <row r="41" spans="2:8">
      <c r="B41" s="60" t="s">
        <v>868</v>
      </c>
      <c r="C41" s="92"/>
      <c r="D41" s="61"/>
      <c r="E41" s="34"/>
      <c r="F41" s="62">
        <f>SUM(F38:F40)</f>
        <v>409.86203525802853</v>
      </c>
      <c r="G41" s="63"/>
      <c r="H41" s="72"/>
    </row>
    <row r="42" spans="2:8" ht="15" customHeight="1">
      <c r="B42" s="36"/>
      <c r="C42" s="34"/>
      <c r="D42" s="61"/>
      <c r="E42" s="34"/>
      <c r="F42" s="46"/>
      <c r="G42" s="91"/>
      <c r="H42" s="72"/>
    </row>
    <row r="43" spans="2:8">
      <c r="B43" s="60" t="s">
        <v>375</v>
      </c>
      <c r="C43" s="34"/>
      <c r="D43" s="61"/>
      <c r="E43" s="61"/>
      <c r="F43" s="62">
        <f>F35+F41</f>
        <v>1060.7530335255503</v>
      </c>
      <c r="G43" s="37"/>
      <c r="H43" s="72"/>
    </row>
    <row r="44" spans="2:8">
      <c r="B44" s="94"/>
      <c r="C44" s="95"/>
      <c r="D44" s="96"/>
      <c r="E44" s="95"/>
      <c r="F44" s="97"/>
      <c r="G44" s="63"/>
      <c r="H44" s="72"/>
    </row>
    <row r="45" spans="2:8">
      <c r="B45" s="98" t="s">
        <v>367</v>
      </c>
      <c r="C45" s="34"/>
      <c r="D45" s="61"/>
      <c r="E45" s="34"/>
      <c r="F45" s="62">
        <f>F10-F35</f>
        <v>725.2090017324781</v>
      </c>
      <c r="G45" s="63"/>
      <c r="H45" s="72"/>
    </row>
    <row r="46" spans="2:8">
      <c r="B46" s="98" t="s">
        <v>368</v>
      </c>
      <c r="C46" s="34"/>
      <c r="D46" s="61"/>
      <c r="E46" s="34"/>
      <c r="F46" s="62">
        <f>F10-F43</f>
        <v>315.34696647444957</v>
      </c>
      <c r="G46" s="37"/>
      <c r="H46" s="72"/>
    </row>
    <row r="47" spans="2:8">
      <c r="B47" s="99" t="s">
        <v>369</v>
      </c>
      <c r="C47" s="100"/>
      <c r="D47" s="101"/>
      <c r="E47" s="100"/>
      <c r="F47" s="102">
        <f>F10-F43+F40+F32</f>
        <v>581.62996647444959</v>
      </c>
      <c r="G47" s="63"/>
      <c r="H47" s="72"/>
    </row>
    <row r="48" spans="2:8">
      <c r="B48" s="36"/>
      <c r="C48" s="34"/>
      <c r="D48" s="34" t="s">
        <v>757</v>
      </c>
      <c r="E48" s="34"/>
      <c r="F48" s="46">
        <f>F35/D5</f>
        <v>0.11419140320482839</v>
      </c>
      <c r="G48" s="63"/>
      <c r="H48" s="72"/>
    </row>
    <row r="49" spans="1:9">
      <c r="B49" s="36"/>
      <c r="C49" s="34"/>
      <c r="D49" s="34" t="s">
        <v>758</v>
      </c>
      <c r="E49" s="34"/>
      <c r="F49" s="46">
        <f>F41/D5</f>
        <v>7.1905620220706762E-2</v>
      </c>
      <c r="G49" s="63"/>
      <c r="H49" s="72"/>
    </row>
    <row r="50" spans="1:9">
      <c r="B50" s="103"/>
      <c r="C50" s="100"/>
      <c r="D50" s="100" t="s">
        <v>759</v>
      </c>
      <c r="E50" s="100"/>
      <c r="F50" s="90">
        <f>F43/D5</f>
        <v>0.18609702342553514</v>
      </c>
      <c r="G50" s="63"/>
      <c r="H50" s="72"/>
    </row>
    <row r="51" spans="1:9">
      <c r="B51" s="37"/>
      <c r="C51" s="63"/>
      <c r="D51" s="104"/>
      <c r="E51" s="63"/>
      <c r="F51" s="37"/>
      <c r="G51" s="63"/>
      <c r="H51" s="72"/>
    </row>
    <row r="52" spans="1:9">
      <c r="B52" s="302" t="s">
        <v>869</v>
      </c>
      <c r="C52" s="302"/>
      <c r="D52" s="302"/>
      <c r="E52" s="302"/>
      <c r="F52" s="302"/>
      <c r="G52" s="106"/>
      <c r="H52" s="72"/>
    </row>
    <row r="53" spans="1:9">
      <c r="B53" s="107" t="s">
        <v>560</v>
      </c>
      <c r="C53" s="108" t="s">
        <v>561</v>
      </c>
      <c r="D53" s="108" t="s">
        <v>556</v>
      </c>
      <c r="E53" s="108" t="s">
        <v>754</v>
      </c>
      <c r="F53" s="108" t="s">
        <v>10</v>
      </c>
      <c r="G53" s="109" t="s">
        <v>698</v>
      </c>
      <c r="H53" s="72"/>
    </row>
    <row r="54" spans="1:9">
      <c r="B54" s="110" t="s">
        <v>563</v>
      </c>
      <c r="C54" s="111">
        <f>IF(ISBLANK($B54),"",VLOOKUP($B54,'Machinery Input Tables'!$C$133:$F$184,2,FALSE))</f>
        <v>7.3709999999999996</v>
      </c>
      <c r="D54" s="111" t="str">
        <f>IF(ISBLANK($B54),"",VLOOKUP($B54,'Machinery Input Tables'!$C$133:$F$184,3,FALSE))</f>
        <v>per acre</v>
      </c>
      <c r="E54" s="112"/>
      <c r="F54" s="110">
        <v>1</v>
      </c>
      <c r="G54" s="113">
        <f>IFERROR(C54*F54*IF(D54="per acre",1,E54),"-")</f>
        <v>7.3709999999999996</v>
      </c>
      <c r="H54" s="72"/>
    </row>
    <row r="55" spans="1:9">
      <c r="B55" s="110" t="s">
        <v>700</v>
      </c>
      <c r="C55" s="111">
        <f>IF(ISBLANK($B55),"",VLOOKUP($B55,'Machinery Input Tables'!$C$133:$F$184,2,FALSE))</f>
        <v>12.600000000000001</v>
      </c>
      <c r="D55" s="111" t="str">
        <f>IF(ISBLANK($B55),"",VLOOKUP($B55,'Machinery Input Tables'!$C$133:$F$184,3,FALSE))</f>
        <v>per acre</v>
      </c>
      <c r="E55" s="112"/>
      <c r="F55" s="110">
        <v>1</v>
      </c>
      <c r="G55" s="113">
        <f t="shared" ref="G55:G57" si="1">IFERROR(C55*F55*IF(D55="per acre",1,E55),"-")</f>
        <v>12.600000000000001</v>
      </c>
      <c r="H55" s="72"/>
    </row>
    <row r="56" spans="1:9">
      <c r="B56" s="114"/>
      <c r="C56" s="111" t="str">
        <f>IF(ISBLANK($B56),"",VLOOKUP($B56,'Machinery Input Tables'!$C$133:$F$184,2,FALSE))</f>
        <v/>
      </c>
      <c r="D56" s="111" t="str">
        <f>IF(ISBLANK($B56),"",VLOOKUP($B56,'Machinery Input Tables'!$C$133:$F$184,3,FALSE))</f>
        <v/>
      </c>
      <c r="E56" s="114"/>
      <c r="F56" s="114"/>
      <c r="G56" s="113" t="str">
        <f t="shared" si="1"/>
        <v>-</v>
      </c>
      <c r="H56" s="72"/>
    </row>
    <row r="57" spans="1:9">
      <c r="B57" s="115"/>
      <c r="C57" s="116" t="str">
        <f>IF(ISBLANK($B57),"",VLOOKUP($B57,'Machinery Input Tables'!$C$133:$F$184,2,FALSE))</f>
        <v/>
      </c>
      <c r="D57" s="117" t="str">
        <f>IF(ISBLANK($B57),"",VLOOKUP($B57,'Machinery Input Tables'!$C$133:$F$184,3,FALSE))</f>
        <v/>
      </c>
      <c r="E57" s="115"/>
      <c r="F57" s="115"/>
      <c r="G57" s="118" t="str">
        <f t="shared" si="1"/>
        <v>-</v>
      </c>
      <c r="H57" s="72"/>
    </row>
    <row r="58" spans="1:9" s="6" customFormat="1" ht="17.25">
      <c r="A58" s="3"/>
      <c r="B58" s="119" t="s">
        <v>699</v>
      </c>
      <c r="C58" s="120"/>
      <c r="D58" s="119"/>
      <c r="E58" s="120"/>
      <c r="F58" s="120"/>
      <c r="G58" s="121">
        <f>SUM(G54:G57)</f>
        <v>19.971</v>
      </c>
      <c r="H58" s="72"/>
      <c r="I58" s="3"/>
    </row>
    <row r="59" spans="1:9" ht="17.25">
      <c r="A59" s="6"/>
      <c r="B59" s="105" t="s">
        <v>870</v>
      </c>
      <c r="C59" s="105"/>
      <c r="D59" s="105"/>
      <c r="E59" s="105"/>
      <c r="F59" s="105"/>
      <c r="G59" s="105"/>
      <c r="H59" s="105"/>
      <c r="I59" s="105"/>
    </row>
    <row r="60" spans="1:9">
      <c r="B60" s="303" t="s">
        <v>497</v>
      </c>
      <c r="C60" s="305" t="s">
        <v>498</v>
      </c>
      <c r="D60" s="123" t="s">
        <v>871</v>
      </c>
      <c r="E60" s="305" t="s">
        <v>499</v>
      </c>
      <c r="F60" s="305" t="s">
        <v>500</v>
      </c>
      <c r="G60" s="122" t="s">
        <v>501</v>
      </c>
      <c r="H60" s="122" t="s">
        <v>502</v>
      </c>
      <c r="I60" s="307" t="s">
        <v>503</v>
      </c>
    </row>
    <row r="61" spans="1:9">
      <c r="B61" s="304"/>
      <c r="C61" s="306"/>
      <c r="D61" s="125" t="s">
        <v>872</v>
      </c>
      <c r="E61" s="306"/>
      <c r="F61" s="306"/>
      <c r="G61" s="124" t="s">
        <v>516</v>
      </c>
      <c r="H61" s="124" t="s">
        <v>516</v>
      </c>
      <c r="I61" s="308"/>
    </row>
    <row r="62" spans="1:9">
      <c r="B62" s="126"/>
      <c r="C62" s="127" t="s">
        <v>873</v>
      </c>
      <c r="D62" s="128" t="s">
        <v>522</v>
      </c>
      <c r="E62" s="128" t="s">
        <v>519</v>
      </c>
      <c r="F62" s="128" t="s">
        <v>520</v>
      </c>
      <c r="G62" s="128" t="s">
        <v>521</v>
      </c>
      <c r="H62" s="128" t="s">
        <v>521</v>
      </c>
      <c r="I62" s="128" t="s">
        <v>523</v>
      </c>
    </row>
    <row r="63" spans="1:9">
      <c r="B63" s="129" t="s">
        <v>851</v>
      </c>
      <c r="C63" s="129" t="s">
        <v>693</v>
      </c>
      <c r="D63" s="130">
        <v>1</v>
      </c>
      <c r="E63" s="131">
        <f>IFERROR(IF(ISBLANK(C63),"",IF(OR(ISBLANK(B63),IFERROR(VLOOKUP(B63,'Machinery Input Tables'!$B$6:$AF$121,13,FALSE),"")='Machinery Input Tables'!$N$128),1,VLOOKUP(B63,'Machinery Input Tables'!$B$6:$AF$121,28,FALSE))*VLOOKUP(C63,'Machinery Input Tables'!$AH$6:$BA$32,19,FALSE))*D63,"-")</f>
        <v>0.55359477124182999</v>
      </c>
      <c r="F63" s="131">
        <f>IFERROR(IF(AND(ISBLANK(B63)*ISBLANK(C63)),"",IF(ISBLANK(B63),1,IF(VLOOKUP(B63,'Machinery Input Tables'!$B$6:$AF$121,13,FALSE)='Machinery Input Tables'!$N$128,VLOOKUP(B63,'Machinery Input Tables'!$B$6:$AF$121,17,FALSE),VLOOKUP(B63,'Machinery Input Tables'!$B$6:$AF$121,28,FALSE))))*D63,"-")</f>
        <v>4.4934640522875817E-2</v>
      </c>
      <c r="G63" s="132">
        <f>IFERROR(IF(ISBLANK(C63),"",E63*'Machinery Input Tables'!$BP$10*'Machinery Input Tables'!$BP$11+E63*'Machinery Input Tables'!$BP$10+F63*'Machinery Input Tables'!$BP$6+(VLOOKUP(C63,'Machinery Input Tables'!$AH$6:$BA$32,18,FALSE)*IF(IFERROR(VLOOKUP(B63,'Machinery Input Tables'!$B$6:$AF$121,13,FALSE)='Machinery Input Tables'!$N$128,1),1,VLOOKUP(B63,'Machinery Input Tables'!$B$6:$AF$121,28,FALSE))+IFERROR(VLOOKUP(B63,'Machinery Input Tables'!$B$6:$AF$121,27,FALSE),0))*D63),"-")</f>
        <v>4.2828071034265101</v>
      </c>
      <c r="H63" s="132">
        <f>IFERROR((IFERROR(VLOOKUP(B63,'Machinery Input Tables'!$B$6:$AF$121,24,FALSE),0)+VLOOKUP(C63,'Machinery Input Tables'!$AH$6:$BA$32,20,FALSE))*IF(IFERROR(VLOOKUP(B63,'Machinery Input Tables'!$B$6:$AF$121,13,FALSE)='Machinery Input Tables'!$N$128,1),1,VLOOKUP(B63,'Machinery Input Tables'!$B$6:$AF$121,28,FALSE))*D63,"-")</f>
        <v>5.040912069370183</v>
      </c>
      <c r="I63" s="132">
        <f>IFERROR(IF(ISBLANK(AND(B63,C63)),"",SUM(G63:H63)),"-")</f>
        <v>9.323719172796693</v>
      </c>
    </row>
    <row r="64" spans="1:9">
      <c r="B64" s="129" t="s">
        <v>845</v>
      </c>
      <c r="C64" s="129" t="s">
        <v>649</v>
      </c>
      <c r="D64" s="130">
        <v>1</v>
      </c>
      <c r="E64" s="131">
        <f>IFERROR(IF(ISBLANK(C64),"",IF(OR(ISBLANK(B64),IFERROR(VLOOKUP(B64,'Machinery Input Tables'!$B$6:$AF$121,13,FALSE),"")='Machinery Input Tables'!$N$128),1,VLOOKUP(B64,'Machinery Input Tables'!$B$6:$AF$121,28,FALSE))*VLOOKUP(C64,'Machinery Input Tables'!$AH$6:$BA$32,19,FALSE))*D64,"-")</f>
        <v>0.50416666666666676</v>
      </c>
      <c r="F64" s="131">
        <f>IFERROR(IF(AND(ISBLANK(B64)*ISBLANK(C64)),"",IF(ISBLANK(B64),1,IF(VLOOKUP(B64,'Machinery Input Tables'!$B$6:$AF$121,13,FALSE)='Machinery Input Tables'!$N$128,VLOOKUP(B64,'Machinery Input Tables'!$B$6:$AF$121,17,FALSE),VLOOKUP(B64,'Machinery Input Tables'!$B$6:$AF$121,28,FALSE))))*D64,"-")</f>
        <v>3.3700980392156868E-2</v>
      </c>
      <c r="G64" s="132">
        <f>IFERROR(IF(ISBLANK(C64),"",E64*'Machinery Input Tables'!$BP$10+F64*'Machinery Input Tables'!$BP$6+(VLOOKUP(C64,'Machinery Input Tables'!$AH$6:$BA$32,18,FALSE)*IF(IFERROR(VLOOKUP(B64,'Machinery Input Tables'!$B$6:$AF$121,13,FALSE)='Machinery Input Tables'!$N$128,1),1,VLOOKUP(B64,'Machinery Input Tables'!$B$6:$AF$121,28,FALSE))+IFERROR(VLOOKUP(B64,'Machinery Input Tables'!$B$6:$AF$121,27,FALSE),0))*D64),"-")</f>
        <v>3.5928773788927337</v>
      </c>
      <c r="H64" s="132">
        <f>IFERROR((IFERROR(VLOOKUP(B64,'Machinery Input Tables'!$B$6:$AF$121,24,FALSE),0)+VLOOKUP(C64,'Machinery Input Tables'!$AH$6:$BA$32,20,FALSE))*IF(IFERROR(VLOOKUP(B64,'Machinery Input Tables'!$B$6:$AF$121,13,FALSE)='Machinery Input Tables'!$N$128,1),1,VLOOKUP(B64,'Machinery Input Tables'!$B$6:$AF$121,28,FALSE))*D64,"-")</f>
        <v>3.975743610674769</v>
      </c>
      <c r="I64" s="132">
        <f t="shared" ref="I64:I73" si="2">IFERROR(IF(ISBLANK(AND(B64,C64)),"",SUM(G64:H64)),"-")</f>
        <v>7.5686209895675027</v>
      </c>
    </row>
    <row r="65" spans="2:9">
      <c r="B65" s="129" t="s">
        <v>850</v>
      </c>
      <c r="C65" s="129" t="s">
        <v>693</v>
      </c>
      <c r="D65" s="130">
        <v>1</v>
      </c>
      <c r="E65" s="131">
        <f>IFERROR(IF(ISBLANK(C65),"",IF(OR(ISBLANK(B65),IFERROR(VLOOKUP(B65,'Machinery Input Tables'!$B$6:$AF$121,13,FALSE),"")='Machinery Input Tables'!$N$128),1,VLOOKUP(B65,'Machinery Input Tables'!$B$6:$AF$121,28,FALSE))*VLOOKUP(C65,'Machinery Input Tables'!$AH$6:$BA$32,19,FALSE))*D65,"-")</f>
        <v>0.82133333333333325</v>
      </c>
      <c r="F65" s="131">
        <f>IFERROR(IF(AND(ISBLANK(B65)*ISBLANK(C65)),"",IF(ISBLANK(B65),1,IF(VLOOKUP(B65,'Machinery Input Tables'!$B$6:$AF$121,13,FALSE)='Machinery Input Tables'!$N$128,VLOOKUP(B65,'Machinery Input Tables'!$B$6:$AF$121,17,FALSE),VLOOKUP(B65,'Machinery Input Tables'!$B$6:$AF$121,28,FALSE))))*D65,"-")</f>
        <v>6.6666666666666666E-2</v>
      </c>
      <c r="G65" s="132">
        <f>IFERROR(IF(ISBLANK(C65),"",E65*'Machinery Input Tables'!$BP$10+F65*'Machinery Input Tables'!$BP$6+(VLOOKUP(C65,'Machinery Input Tables'!$AH$6:$BA$32,18,FALSE)*IF(IFERROR(VLOOKUP(B65,'Machinery Input Tables'!$B$6:$AF$121,13,FALSE)='Machinery Input Tables'!$N$128,1),1,VLOOKUP(B65,'Machinery Input Tables'!$B$6:$AF$121,28,FALSE))+IFERROR(VLOOKUP(B65,'Machinery Input Tables'!$B$6:$AF$121,27,FALSE),0))*D65),"-")</f>
        <v>10.935572086084932</v>
      </c>
      <c r="H65" s="132">
        <f>IFERROR((IFERROR(VLOOKUP(B65,'Machinery Input Tables'!$B$6:$AF$121,24,FALSE),0)+VLOOKUP(C65,'Machinery Input Tables'!$AH$6:$BA$32,20,FALSE))*IF(IFERROR(VLOOKUP(B65,'Machinery Input Tables'!$B$6:$AF$121,13,FALSE)='Machinery Input Tables'!$N$128,1),1,VLOOKUP(B65,'Machinery Input Tables'!$B$6:$AF$121,28,FALSE))*D65,"-")</f>
        <v>16.019837318672113</v>
      </c>
      <c r="I65" s="132">
        <f t="shared" si="2"/>
        <v>26.955409404757045</v>
      </c>
    </row>
    <row r="66" spans="2:9">
      <c r="B66" s="129" t="s">
        <v>694</v>
      </c>
      <c r="C66" s="129" t="s">
        <v>678</v>
      </c>
      <c r="D66" s="130">
        <v>5</v>
      </c>
      <c r="E66" s="131">
        <f>IFERROR(IF(ISBLANK(C66),"",IF(OR(ISBLANK(B66),IFERROR(VLOOKUP(B66,'Machinery Input Tables'!$B$6:$AF$121,13,FALSE),"")='Machinery Input Tables'!$N$128),1,VLOOKUP(B66,'Machinery Input Tables'!$B$6:$AF$121,28,FALSE))*VLOOKUP(C66,'Machinery Input Tables'!$AH$6:$BA$32,19,FALSE))*D66,"-")</f>
        <v>0.63020833333333326</v>
      </c>
      <c r="F66" s="131">
        <f>IFERROR(IF(AND(ISBLANK(B66)*ISBLANK(C66)),"",IF(ISBLANK(B66),1,IF(VLOOKUP(B66,'Machinery Input Tables'!$B$6:$AF$121,13,FALSE)='Machinery Input Tables'!$N$128,VLOOKUP(B66,'Machinery Input Tables'!$B$6:$AF$121,17,FALSE),VLOOKUP(B66,'Machinery Input Tables'!$B$6:$AF$121,28,FALSE))))*D66,"-")</f>
        <v>4.5833333333333337E-2</v>
      </c>
      <c r="G66" s="132">
        <f>IFERROR(IF(ISBLANK(C66),"",E66*'Machinery Input Tables'!$BP$10+F66*'Machinery Input Tables'!$BP$6+(VLOOKUP(C66,'Machinery Input Tables'!$AH$6:$BA$32,18,FALSE)*IF(IFERROR(VLOOKUP(B66,'Machinery Input Tables'!$B$6:$AF$121,13,FALSE)='Machinery Input Tables'!$N$128,1),1,VLOOKUP(B66,'Machinery Input Tables'!$B$6:$AF$121,28,FALSE))+IFERROR(VLOOKUP(B66,'Machinery Input Tables'!$B$6:$AF$121,27,FALSE),0))*D66),"-")</f>
        <v>14.059518391122445</v>
      </c>
      <c r="H66" s="132">
        <f>IFERROR((IFERROR(VLOOKUP(B66,'Machinery Input Tables'!$B$6:$AF$121,24,FALSE),0)+VLOOKUP(C66,'Machinery Input Tables'!$AH$6:$BA$32,20,FALSE))*IF(IFERROR(VLOOKUP(B66,'Machinery Input Tables'!$B$6:$AF$121,13,FALSE)='Machinery Input Tables'!$N$128,1),1,VLOOKUP(B66,'Machinery Input Tables'!$B$6:$AF$121,28,FALSE))*D66,"-")</f>
        <v>8.0001842912326655</v>
      </c>
      <c r="I66" s="132">
        <f t="shared" si="2"/>
        <v>22.059702682355109</v>
      </c>
    </row>
    <row r="67" spans="2:9">
      <c r="B67" s="129" t="s">
        <v>885</v>
      </c>
      <c r="C67" s="129" t="s">
        <v>697</v>
      </c>
      <c r="D67" s="130">
        <v>1</v>
      </c>
      <c r="E67" s="131">
        <f>IFERROR(IF(ISBLANK(C67),"",IF(OR(ISBLANK(B67),IFERROR(VLOOKUP(B67,'Machinery Input Tables'!$B$6:$AF$121,13,FALSE),"")='Machinery Input Tables'!$N$128),1,VLOOKUP(B67,'Machinery Input Tables'!$B$6:$AF$121,28,FALSE))*VLOOKUP(C67,'Machinery Input Tables'!$AH$6:$BA$32,19,FALSE))*D67,"-")</f>
        <v>1.1203703703703702</v>
      </c>
      <c r="F67" s="131">
        <f>IFERROR(IF(AND(ISBLANK(B67)*ISBLANK(C67)),"",IF(ISBLANK(B67),1,IF(VLOOKUP(B67,'Machinery Input Tables'!$B$6:$AF$121,13,FALSE)='Machinery Input Tables'!$N$128,VLOOKUP(B67,'Machinery Input Tables'!$B$6:$AF$121,17,FALSE),VLOOKUP(B67,'Machinery Input Tables'!$B$6:$AF$121,28,FALSE))))*D67,"-")</f>
        <v>0.12731481481481483</v>
      </c>
      <c r="G67" s="132">
        <f>IFERROR(IF(ISBLANK(C67),"",E67*'Machinery Input Tables'!$BP$10+F67*'Machinery Input Tables'!$BP$6+(VLOOKUP(C67,'Machinery Input Tables'!$AH$6:$BA$32,18,FALSE)*IF(IFERROR(VLOOKUP(B67,'Machinery Input Tables'!$B$6:$AF$121,13,FALSE)='Machinery Input Tables'!$N$128,1),1,VLOOKUP(B67,'Machinery Input Tables'!$B$6:$AF$121,28,FALSE))+IFERROR(VLOOKUP(B67,'Machinery Input Tables'!$B$6:$AF$121,27,FALSE),0))*D67),"-")</f>
        <v>10.554290150295669</v>
      </c>
      <c r="H67" s="132">
        <f>IFERROR((IFERROR(VLOOKUP(B67,'Machinery Input Tables'!$B$6:$AF$121,24,FALSE),0)+VLOOKUP(C67,'Machinery Input Tables'!$AH$6:$BA$32,20,FALSE))*IF(IFERROR(VLOOKUP(B67,'Machinery Input Tables'!$B$6:$AF$121,13,FALSE)='Machinery Input Tables'!$N$128,1),1,VLOOKUP(B67,'Machinery Input Tables'!$B$6:$AF$121,28,FALSE))*D67,"-")</f>
        <v>12.316598764695804</v>
      </c>
      <c r="I67" s="132">
        <f t="shared" si="2"/>
        <v>22.870888914991475</v>
      </c>
    </row>
    <row r="68" spans="2:9">
      <c r="B68" s="129" t="s">
        <v>886</v>
      </c>
      <c r="C68" s="129" t="s">
        <v>693</v>
      </c>
      <c r="D68" s="130">
        <v>1</v>
      </c>
      <c r="E68" s="131">
        <f>IFERROR(IF(ISBLANK(C68),"",IF(OR(ISBLANK(B68),IFERROR(VLOOKUP(B68,'Machinery Input Tables'!$B$6:$AF$121,13,FALSE),"")='Machinery Input Tables'!$N$128),1,VLOOKUP(B68,'Machinery Input Tables'!$B$6:$AF$121,28,FALSE))*VLOOKUP(C68,'Machinery Input Tables'!$AH$6:$BA$32,19,FALSE))*D68,"-")</f>
        <v>2.8233333333333328</v>
      </c>
      <c r="F68" s="131">
        <f>IFERROR(IF(AND(ISBLANK(B68)*ISBLANK(C68)),"",IF(ISBLANK(B68),1,IF(VLOOKUP(B68,'Machinery Input Tables'!$B$6:$AF$121,13,FALSE)='Machinery Input Tables'!$N$128,VLOOKUP(B68,'Machinery Input Tables'!$B$6:$AF$121,17,FALSE),VLOOKUP(B68,'Machinery Input Tables'!$B$6:$AF$121,28,FALSE))))*D68,"-")</f>
        <v>0.22916666666666666</v>
      </c>
      <c r="G68" s="132">
        <f>IFERROR(IF(ISBLANK(C68),"",E68*'Machinery Input Tables'!$BP$10+F68*'Machinery Input Tables'!$BP$6+(VLOOKUP(C68,'Machinery Input Tables'!$AH$6:$BA$32,18,FALSE)*IF(IFERROR(VLOOKUP(B68,'Machinery Input Tables'!$B$6:$AF$121,13,FALSE)='Machinery Input Tables'!$N$128,1),1,VLOOKUP(B68,'Machinery Input Tables'!$B$6:$AF$121,28,FALSE))+IFERROR(VLOOKUP(B68,'Machinery Input Tables'!$B$6:$AF$121,27,FALSE),0))*D68),"-")</f>
        <v>25.820418047904205</v>
      </c>
      <c r="H68" s="132">
        <f>IFERROR((IFERROR(VLOOKUP(B68,'Machinery Input Tables'!$B$6:$AF$121,24,FALSE),0)+VLOOKUP(C68,'Machinery Input Tables'!$AH$6:$BA$32,20,FALSE))*IF(IFERROR(VLOOKUP(B68,'Machinery Input Tables'!$B$6:$AF$121,13,FALSE)='Machinery Input Tables'!$N$128,1),1,VLOOKUP(B68,'Machinery Input Tables'!$B$6:$AF$121,28,FALSE))*D68,"-")</f>
        <v>51.022140873606553</v>
      </c>
      <c r="I68" s="132">
        <f t="shared" si="2"/>
        <v>76.842558921510758</v>
      </c>
    </row>
    <row r="69" spans="2:9">
      <c r="B69" s="129" t="s">
        <v>853</v>
      </c>
      <c r="C69" s="129" t="s">
        <v>697</v>
      </c>
      <c r="D69" s="130">
        <v>0.2</v>
      </c>
      <c r="E69" s="131">
        <f>IFERROR(IF(ISBLANK(C69),"",IF(OR(ISBLANK(B69),IFERROR(VLOOKUP(B69,'Machinery Input Tables'!$B$6:$AF$121,13,FALSE),"")='Machinery Input Tables'!$N$128),1,VLOOKUP(B69,'Machinery Input Tables'!$B$6:$AF$121,28,FALSE))*VLOOKUP(C69,'Machinery Input Tables'!$AH$6:$BA$32,19,FALSE))*D69,"-")</f>
        <v>1.7599999999999998</v>
      </c>
      <c r="F69" s="131">
        <f>IFERROR(IF(AND(ISBLANK(B69)*ISBLANK(C69)),"",IF(ISBLANK(B69),1,IF(VLOOKUP(B69,'Machinery Input Tables'!$B$6:$AF$121,13,FALSE)='Machinery Input Tables'!$N$128,VLOOKUP(B69,'Machinery Input Tables'!$B$6:$AF$121,17,FALSE),VLOOKUP(B69,'Machinery Input Tables'!$B$6:$AF$121,28,FALSE))))*D69,"-")</f>
        <v>0.21000000000000002</v>
      </c>
      <c r="G69" s="132">
        <f>IFERROR(IF(ISBLANK(C69),"",E69*'Machinery Input Tables'!$BP$10+F69*'Machinery Input Tables'!$BP$6+(VLOOKUP(C69,'Machinery Input Tables'!$AH$6:$BA$32,18,FALSE)*IF(IFERROR(VLOOKUP(B69,'Machinery Input Tables'!$B$6:$AF$121,13,FALSE)='Machinery Input Tables'!$N$128,1),1,VLOOKUP(B69,'Machinery Input Tables'!$B$6:$AF$121,28,FALSE))+IFERROR(VLOOKUP(B69,'Machinery Input Tables'!$B$6:$AF$121,27,FALSE),0))*D69),"-")</f>
        <v>14.151208777155853</v>
      </c>
      <c r="H69" s="132">
        <f>IFERROR((IFERROR(VLOOKUP(B69,'Machinery Input Tables'!$B$6:$AF$121,24,FALSE),0)+VLOOKUP(C69,'Machinery Input Tables'!$AH$6:$BA$32,20,FALSE))*IF(IFERROR(VLOOKUP(B69,'Machinery Input Tables'!$B$6:$AF$121,13,FALSE)='Machinery Input Tables'!$N$128,1),1,VLOOKUP(B69,'Machinery Input Tables'!$B$6:$AF$121,28,FALSE))*D69,"-")</f>
        <v>18.471520426535612</v>
      </c>
      <c r="I69" s="132">
        <f t="shared" si="2"/>
        <v>32.622729203691463</v>
      </c>
    </row>
    <row r="70" spans="2:9">
      <c r="B70" s="129"/>
      <c r="C70" s="129" t="s">
        <v>695</v>
      </c>
      <c r="D70" s="130">
        <v>0.25</v>
      </c>
      <c r="E70" s="131">
        <f>IFERROR(IF(ISBLANK(C70),"",IF(OR(ISBLANK(B70),IFERROR(VLOOKUP(B70,'Machinery Input Tables'!$B$6:$AF$121,13,FALSE),"")='Machinery Input Tables'!$N$128),1,VLOOKUP(B70,'Machinery Input Tables'!$B$6:$AF$121,28,FALSE))*VLOOKUP(C70,'Machinery Input Tables'!$AH$6:$BA$32,19,FALSE))*D70,"-")</f>
        <v>0.75</v>
      </c>
      <c r="F70" s="131">
        <f>IFERROR(IF(AND(ISBLANK(B70)*ISBLANK(C70)),"",IF(ISBLANK(B70),1,IF(VLOOKUP(B70,'Machinery Input Tables'!$B$6:$AF$121,13,FALSE)='Machinery Input Tables'!$N$128,VLOOKUP(B70,'Machinery Input Tables'!$B$6:$AF$121,17,FALSE),VLOOKUP(B70,'Machinery Input Tables'!$B$6:$AF$121,28,FALSE))))*D70,"-")</f>
        <v>0.25</v>
      </c>
      <c r="G70" s="132">
        <f>IFERROR(IF(ISBLANK(C70),"",E70*'Machinery Input Tables'!$BP$10+F70*'Machinery Input Tables'!$BP$6+(VLOOKUP(C70,'Machinery Input Tables'!$AH$6:$BA$32,18,FALSE)*IF(IFERROR(VLOOKUP(B70,'Machinery Input Tables'!$B$6:$AF$121,13,FALSE)='Machinery Input Tables'!$N$128,1),1,VLOOKUP(B70,'Machinery Input Tables'!$B$6:$AF$121,28,FALSE))+IFERROR(VLOOKUP(B70,'Machinery Input Tables'!$B$6:$AF$121,27,FALSE),0))*D70),"-")</f>
        <v>12.05</v>
      </c>
      <c r="H70" s="132">
        <f>IFERROR((IFERROR(VLOOKUP(B70,'Machinery Input Tables'!$B$6:$AF$121,24,FALSE),0)+VLOOKUP(C70,'Machinery Input Tables'!$AH$6:$BA$32,20,FALSE))*IF(IFERROR(VLOOKUP(B70,'Machinery Input Tables'!$B$6:$AF$121,13,FALSE)='Machinery Input Tables'!$N$128,1),1,VLOOKUP(B70,'Machinery Input Tables'!$B$6:$AF$121,28,FALSE))*D70,"-")</f>
        <v>4.9630979032408344</v>
      </c>
      <c r="I70" s="132">
        <f t="shared" si="2"/>
        <v>17.013097903240833</v>
      </c>
    </row>
    <row r="71" spans="2:9">
      <c r="B71" s="129"/>
      <c r="C71" s="129"/>
      <c r="D71" s="130"/>
      <c r="E71" s="131" t="str">
        <f>IFERROR(IF(ISBLANK(C71),"",IF(OR(ISBLANK(B71),IFERROR(VLOOKUP(B71,'Machinery Input Tables'!$B$6:$AF$121,13,FALSE),"")='Machinery Input Tables'!$N$128),1,VLOOKUP(B71,'Machinery Input Tables'!$B$6:$AF$121,28,FALSE))*VLOOKUP(C71,'Machinery Input Tables'!$AH$6:$BA$32,19,FALSE))*D71,"-")</f>
        <v>-</v>
      </c>
      <c r="F71" s="131" t="str">
        <f>IFERROR(IF(AND(ISBLANK(B71)*ISBLANK(C71)),"",IF(ISBLANK(B71),1,IF(VLOOKUP(B71,'Machinery Input Tables'!$B$6:$AF$121,13,FALSE)='Machinery Input Tables'!$N$128,VLOOKUP(B71,'Machinery Input Tables'!$B$6:$AF$121,17,FALSE),VLOOKUP(B71,'Machinery Input Tables'!$B$6:$AF$121,28,FALSE))))*D71,"-")</f>
        <v>-</v>
      </c>
      <c r="G71" s="132" t="str">
        <f>IFERROR(IF(ISBLANK(C71),"",E71*'Machinery Input Tables'!$BP$10+F71*'Machinery Input Tables'!$BP$6+(VLOOKUP(C71,'Machinery Input Tables'!$AH$6:$BA$32,18,FALSE)*IF(IFERROR(VLOOKUP(B71,'Machinery Input Tables'!$B$6:$AF$121,13,FALSE)='Machinery Input Tables'!$N$128,1),1,VLOOKUP(B71,'Machinery Input Tables'!$B$6:$AF$121,28,FALSE))+IFERROR(VLOOKUP(B71,'Machinery Input Tables'!$B$6:$AF$121,27,FALSE),0))*D71),"-")</f>
        <v/>
      </c>
      <c r="H71" s="132" t="str">
        <f>IFERROR((IFERROR(VLOOKUP(B71,'Machinery Input Tables'!$B$6:$AF$121,24,FALSE),0)+VLOOKUP(C71,'Machinery Input Tables'!$AH$6:$BA$32,20,FALSE))*IF(IFERROR(VLOOKUP(B71,'Machinery Input Tables'!$B$6:$AF$121,13,FALSE)='Machinery Input Tables'!$N$128,1),1,VLOOKUP(B71,'Machinery Input Tables'!$B$6:$AF$121,28,FALSE))*D71,"-")</f>
        <v>-</v>
      </c>
      <c r="I71" s="132">
        <f t="shared" si="2"/>
        <v>0</v>
      </c>
    </row>
    <row r="72" spans="2:9">
      <c r="B72" s="129"/>
      <c r="C72" s="129"/>
      <c r="D72" s="130"/>
      <c r="E72" s="131" t="str">
        <f>IFERROR(IF(ISBLANK(C72),"",IF(OR(ISBLANK(B72),IFERROR(VLOOKUP(B72,'Machinery Input Tables'!$B$6:$AF$121,13,FALSE),"")='Machinery Input Tables'!$N$128),1,VLOOKUP(B72,'Machinery Input Tables'!$B$6:$AF$121,28,FALSE))*VLOOKUP(C72,'Machinery Input Tables'!$AH$6:$BA$32,19,FALSE))*D72,"-")</f>
        <v>-</v>
      </c>
      <c r="F72" s="131" t="str">
        <f>IFERROR(IF(AND(ISBLANK(B72)*ISBLANK(C72)),"",IF(ISBLANK(B72),1,IF(VLOOKUP(B72,'Machinery Input Tables'!$B$6:$AF$121,13,FALSE)='Machinery Input Tables'!$N$128,VLOOKUP(B72,'Machinery Input Tables'!$B$6:$AF$121,17,FALSE),VLOOKUP(B72,'Machinery Input Tables'!$B$6:$AF$121,28,FALSE))))*D72,"-")</f>
        <v>-</v>
      </c>
      <c r="G72" s="132" t="str">
        <f>IFERROR(IF(ISBLANK(C72),"",E72*'Machinery Input Tables'!$BP$10+F72*'Machinery Input Tables'!$BP$6+(VLOOKUP(C72,'Machinery Input Tables'!$AH$6:$BA$32,18,FALSE)*IF(IFERROR(VLOOKUP(B72,'Machinery Input Tables'!$B$6:$AF$121,13,FALSE)='Machinery Input Tables'!$N$128,1),1,VLOOKUP(B72,'Machinery Input Tables'!$B$6:$AF$121,28,FALSE))+IFERROR(VLOOKUP(B72,'Machinery Input Tables'!$B$6:$AF$121,27,FALSE),0))*D72),"-")</f>
        <v/>
      </c>
      <c r="H72" s="132" t="str">
        <f>IFERROR((IFERROR(VLOOKUP(B72,'Machinery Input Tables'!$B$6:$AF$121,24,FALSE),0)+VLOOKUP(C72,'Machinery Input Tables'!$AH$6:$BA$32,20,FALSE))*IF(IFERROR(VLOOKUP(B72,'Machinery Input Tables'!$B$6:$AF$121,13,FALSE)='Machinery Input Tables'!$N$128,1),1,VLOOKUP(B72,'Machinery Input Tables'!$B$6:$AF$121,28,FALSE))*D72,"-")</f>
        <v>-</v>
      </c>
      <c r="I72" s="132">
        <f t="shared" si="2"/>
        <v>0</v>
      </c>
    </row>
    <row r="73" spans="2:9">
      <c r="B73" s="133"/>
      <c r="C73" s="133"/>
      <c r="D73" s="134"/>
      <c r="E73" s="135" t="str">
        <f>IFERROR(IF(ISBLANK(C73),"",IF(OR(ISBLANK(B73),IFERROR(VLOOKUP(B73,'Machinery Input Tables'!$B$6:$AF$121,13,FALSE),"")='Machinery Input Tables'!$N$128),1,VLOOKUP(B73,'Machinery Input Tables'!$B$6:$AF$121,28,FALSE))*VLOOKUP(C73,'Machinery Input Tables'!$AH$6:$BA$32,19,FALSE))*D73,"-")</f>
        <v>-</v>
      </c>
      <c r="F73" s="135" t="str">
        <f>IFERROR(IF(AND(ISBLANK(B73)*ISBLANK(C73)),"",IF(ISBLANK(B73),1,IF(VLOOKUP(B73,'Machinery Input Tables'!$B$6:$AF$121,13,FALSE)='Machinery Input Tables'!$N$128,VLOOKUP(B73,'Machinery Input Tables'!$B$6:$AF$121,17,FALSE),VLOOKUP(B73,'Machinery Input Tables'!$B$6:$AF$121,28,FALSE))))*D73,"-")</f>
        <v>-</v>
      </c>
      <c r="G73" s="136" t="str">
        <f>IFERROR(IF(ISBLANK(C73),"",E73*'Machinery Input Tables'!$BP$10+F73*'Machinery Input Tables'!$BP$6+(VLOOKUP(C73,'Machinery Input Tables'!$AH$6:$BA$32,18,FALSE)*IF(IFERROR(VLOOKUP(B73,'Machinery Input Tables'!$B$6:$AF$121,13,FALSE)='Machinery Input Tables'!$N$128,1),1,VLOOKUP(B73,'Machinery Input Tables'!$B$6:$AF$121,28,FALSE))+IFERROR(VLOOKUP(B73,'Machinery Input Tables'!$B$6:$AF$121,27,FALSE),0))*D73),"-")</f>
        <v/>
      </c>
      <c r="H73" s="136" t="str">
        <f>IFERROR((IFERROR(VLOOKUP(B73,'Machinery Input Tables'!$B$6:$AF$121,24,FALSE),0)+VLOOKUP(C73,'Machinery Input Tables'!$AH$6:$BA$32,20,FALSE))*IF(IFERROR(VLOOKUP(B73,'Machinery Input Tables'!$B$6:$AF$121,13,FALSE)='Machinery Input Tables'!$N$128,1),1,VLOOKUP(B73,'Machinery Input Tables'!$B$6:$AF$121,28,FALSE))*D73,"-")</f>
        <v>-</v>
      </c>
      <c r="I73" s="136">
        <f t="shared" si="2"/>
        <v>0</v>
      </c>
    </row>
    <row r="74" spans="2:9">
      <c r="B74" s="126"/>
      <c r="C74" s="137" t="s">
        <v>19</v>
      </c>
      <c r="D74" s="138"/>
      <c r="E74" s="139">
        <f>SUM(E63:E73)</f>
        <v>8.9630068082788661</v>
      </c>
      <c r="F74" s="139">
        <f t="shared" ref="F74:I74" si="3">SUM(F63:F73)</f>
        <v>1.0076171023965141</v>
      </c>
      <c r="G74" s="140">
        <f t="shared" si="3"/>
        <v>95.446691934882352</v>
      </c>
      <c r="H74" s="140">
        <f t="shared" si="3"/>
        <v>119.81003525802855</v>
      </c>
      <c r="I74" s="140">
        <f t="shared" si="3"/>
        <v>215.25672719291086</v>
      </c>
    </row>
    <row r="75" spans="2:9">
      <c r="B75" s="141" t="s">
        <v>874</v>
      </c>
      <c r="C75" s="72"/>
      <c r="D75" s="72"/>
      <c r="E75" s="72"/>
      <c r="F75" s="72"/>
      <c r="G75" s="72"/>
      <c r="H75" s="72"/>
    </row>
    <row r="76" spans="2:9">
      <c r="B76" s="141" t="s">
        <v>875</v>
      </c>
      <c r="C76" s="72"/>
      <c r="D76" s="72"/>
      <c r="E76" s="72"/>
      <c r="F76" s="72"/>
      <c r="G76" s="72"/>
      <c r="H76" s="72"/>
    </row>
    <row r="77" spans="2:9">
      <c r="B77" s="72"/>
      <c r="C77" s="72"/>
      <c r="D77" s="72"/>
      <c r="E77" s="72"/>
      <c r="F77" s="72"/>
      <c r="G77" s="72"/>
      <c r="H77" s="72"/>
    </row>
    <row r="78" spans="2:9" hidden="1">
      <c r="B78" s="72"/>
      <c r="C78" s="72"/>
      <c r="D78" s="72"/>
      <c r="E78" s="72"/>
      <c r="F78" s="72"/>
      <c r="G78" s="72"/>
      <c r="H78" s="72"/>
    </row>
    <row r="79" spans="2:9" hidden="1">
      <c r="H79" s="72"/>
    </row>
    <row r="80" spans="2:9" hidden="1">
      <c r="H80" s="72"/>
    </row>
    <row r="81" spans="2:8" hidden="1">
      <c r="H81" s="72"/>
    </row>
    <row r="82" spans="2:8" hidden="1">
      <c r="H82" s="72"/>
    </row>
    <row r="83" spans="2:8" hidden="1">
      <c r="H83" s="72"/>
    </row>
    <row r="84" spans="2:8" hidden="1">
      <c r="H84" s="72"/>
    </row>
    <row r="85" spans="2:8" hidden="1">
      <c r="H85" s="72"/>
    </row>
    <row r="86" spans="2:8" hidden="1">
      <c r="H86" s="72"/>
    </row>
    <row r="87" spans="2:8" hidden="1">
      <c r="H87" s="72"/>
    </row>
    <row r="88" spans="2:8" hidden="1">
      <c r="H88" s="72"/>
    </row>
    <row r="89" spans="2:8" hidden="1">
      <c r="B89" s="72"/>
      <c r="C89" s="72"/>
      <c r="D89" s="72"/>
      <c r="E89" s="74" t="s">
        <v>803</v>
      </c>
      <c r="F89" s="142">
        <f>F47</f>
        <v>581.62996647444959</v>
      </c>
      <c r="G89" s="72"/>
      <c r="H89" s="72"/>
    </row>
    <row r="90" spans="2:8" hidden="1">
      <c r="B90" s="72"/>
      <c r="C90" s="72"/>
      <c r="D90" s="72"/>
      <c r="E90" s="72"/>
      <c r="F90" s="72"/>
      <c r="G90" s="72"/>
      <c r="H90" s="72"/>
    </row>
    <row r="91" spans="2:8" hidden="1">
      <c r="H91" s="72"/>
    </row>
    <row r="92" spans="2:8" hidden="1">
      <c r="H92" s="72"/>
    </row>
    <row r="93" spans="2:8" hidden="1">
      <c r="H93" s="72"/>
    </row>
    <row r="94" spans="2:8" hidden="1">
      <c r="H94" s="72"/>
    </row>
    <row r="105" spans="8:8" hidden="1">
      <c r="H105" s="72"/>
    </row>
    <row r="106" spans="8:8" hidden="1">
      <c r="H106" s="72"/>
    </row>
    <row r="934" spans="2:3" hidden="1">
      <c r="B934" s="3" t="s">
        <v>41</v>
      </c>
    </row>
    <row r="935" spans="2:3" hidden="1">
      <c r="B935" s="3" t="s">
        <v>42</v>
      </c>
      <c r="C935" s="3">
        <v>5</v>
      </c>
    </row>
    <row r="936" spans="2:3" hidden="1">
      <c r="B936" s="3" t="s">
        <v>43</v>
      </c>
      <c r="C936" s="3">
        <v>1</v>
      </c>
    </row>
    <row r="937" spans="2:3" hidden="1">
      <c r="B937" s="3" t="s">
        <v>44</v>
      </c>
      <c r="C937" s="3">
        <v>1</v>
      </c>
    </row>
    <row r="938" spans="2:3" hidden="1">
      <c r="B938" s="3" t="s">
        <v>45</v>
      </c>
      <c r="C938" s="3">
        <v>2</v>
      </c>
    </row>
    <row r="939" spans="2:3" hidden="1">
      <c r="B939" s="3" t="s">
        <v>46</v>
      </c>
      <c r="C939" s="3">
        <v>1</v>
      </c>
    </row>
    <row r="940" spans="2:3" hidden="1">
      <c r="B940" s="3" t="s">
        <v>47</v>
      </c>
      <c r="C940" s="3">
        <v>0</v>
      </c>
    </row>
    <row r="941" spans="2:3" hidden="1">
      <c r="B941" s="3" t="s">
        <v>48</v>
      </c>
      <c r="C941" s="3">
        <v>0</v>
      </c>
    </row>
    <row r="942" spans="2:3" hidden="1">
      <c r="B942" s="3" t="s">
        <v>49</v>
      </c>
      <c r="C942" s="3">
        <v>0</v>
      </c>
    </row>
    <row r="943" spans="2:3" hidden="1">
      <c r="B943" s="3" t="s">
        <v>50</v>
      </c>
      <c r="C943" s="3">
        <v>0</v>
      </c>
    </row>
    <row r="944" spans="2:3" hidden="1">
      <c r="B944" s="3" t="s">
        <v>51</v>
      </c>
      <c r="C944" s="3">
        <v>0</v>
      </c>
    </row>
    <row r="945" spans="2:3" hidden="1">
      <c r="B945" s="3" t="s">
        <v>52</v>
      </c>
      <c r="C945" s="3">
        <v>0</v>
      </c>
    </row>
    <row r="946" spans="2:3" hidden="1">
      <c r="B946" s="3" t="s">
        <v>53</v>
      </c>
      <c r="C946" s="3" t="b">
        <v>1</v>
      </c>
    </row>
    <row r="947" spans="2:3" hidden="1">
      <c r="B947" s="3" t="s">
        <v>54</v>
      </c>
      <c r="C947" s="3">
        <v>0</v>
      </c>
    </row>
    <row r="948" spans="2:3" hidden="1">
      <c r="B948" s="3" t="s">
        <v>55</v>
      </c>
      <c r="C948" s="3" t="b">
        <v>1</v>
      </c>
    </row>
    <row r="949" spans="2:3" hidden="1">
      <c r="B949" s="3" t="s">
        <v>56</v>
      </c>
      <c r="C949" s="3">
        <v>0</v>
      </c>
    </row>
    <row r="950" spans="2:3" hidden="1">
      <c r="B950" s="3" t="s">
        <v>57</v>
      </c>
      <c r="C950" s="3">
        <v>0</v>
      </c>
    </row>
    <row r="951" spans="2:3" hidden="1">
      <c r="B951" s="3" t="s">
        <v>58</v>
      </c>
      <c r="C951" s="3" t="b">
        <v>1</v>
      </c>
    </row>
    <row r="952" spans="2:3" hidden="1">
      <c r="B952" s="3" t="s">
        <v>59</v>
      </c>
      <c r="C952" s="3">
        <v>0</v>
      </c>
    </row>
    <row r="953" spans="2:3" hidden="1">
      <c r="B953" s="3" t="s">
        <v>60</v>
      </c>
      <c r="C953" s="3">
        <v>0</v>
      </c>
    </row>
    <row r="954" spans="2:3" hidden="1">
      <c r="B954" s="3" t="s">
        <v>61</v>
      </c>
      <c r="C954" s="3">
        <v>0</v>
      </c>
    </row>
    <row r="955" spans="2:3" hidden="1">
      <c r="B955" s="3" t="s">
        <v>62</v>
      </c>
      <c r="C955" s="3">
        <v>0</v>
      </c>
    </row>
    <row r="956" spans="2:3" hidden="1">
      <c r="B956" s="3" t="s">
        <v>63</v>
      </c>
      <c r="C956" s="3" t="s">
        <v>358</v>
      </c>
    </row>
    <row r="957" spans="2:3" hidden="1">
      <c r="B957" s="3" t="s">
        <v>64</v>
      </c>
      <c r="C957" s="3">
        <v>100</v>
      </c>
    </row>
    <row r="958" spans="2:3" hidden="1">
      <c r="B958" s="3" t="s">
        <v>65</v>
      </c>
      <c r="C958" s="3">
        <v>25</v>
      </c>
    </row>
    <row r="959" spans="2:3" hidden="1">
      <c r="B959" s="3" t="s">
        <v>66</v>
      </c>
      <c r="C959" s="3">
        <v>9</v>
      </c>
    </row>
    <row r="960" spans="2:3" hidden="1">
      <c r="B960" s="3" t="s">
        <v>67</v>
      </c>
      <c r="C960" s="3">
        <v>0</v>
      </c>
    </row>
    <row r="961" spans="2:3" hidden="1">
      <c r="B961" s="3" t="s">
        <v>68</v>
      </c>
      <c r="C961" s="3">
        <v>0</v>
      </c>
    </row>
    <row r="962" spans="2:3" hidden="1">
      <c r="B962" s="3" t="s">
        <v>69</v>
      </c>
      <c r="C962" s="3">
        <v>0</v>
      </c>
    </row>
    <row r="963" spans="2:3" hidden="1">
      <c r="B963" s="3" t="s">
        <v>70</v>
      </c>
      <c r="C963" s="3">
        <v>0</v>
      </c>
    </row>
    <row r="964" spans="2:3" hidden="1">
      <c r="B964" s="3" t="s">
        <v>71</v>
      </c>
      <c r="C964" s="3">
        <v>0</v>
      </c>
    </row>
    <row r="965" spans="2:3" hidden="1">
      <c r="B965" s="3" t="s">
        <v>72</v>
      </c>
      <c r="C965" s="3">
        <v>60</v>
      </c>
    </row>
    <row r="966" spans="2:3" hidden="1">
      <c r="B966" s="3" t="s">
        <v>73</v>
      </c>
      <c r="C966" s="3">
        <v>0</v>
      </c>
    </row>
    <row r="967" spans="2:3" hidden="1">
      <c r="B967" s="3" t="s">
        <v>74</v>
      </c>
      <c r="C967" s="3">
        <v>0</v>
      </c>
    </row>
    <row r="968" spans="2:3" hidden="1">
      <c r="B968" s="3" t="s">
        <v>75</v>
      </c>
      <c r="C968" s="3">
        <v>0</v>
      </c>
    </row>
    <row r="969" spans="2:3" hidden="1">
      <c r="B969" s="3" t="s">
        <v>76</v>
      </c>
      <c r="C969" s="3">
        <v>0</v>
      </c>
    </row>
    <row r="970" spans="2:3" hidden="1">
      <c r="B970" s="3" t="s">
        <v>77</v>
      </c>
      <c r="C970" s="3">
        <v>0</v>
      </c>
    </row>
    <row r="971" spans="2:3" hidden="1">
      <c r="B971" s="3" t="s">
        <v>78</v>
      </c>
      <c r="C971" s="3">
        <v>200000</v>
      </c>
    </row>
    <row r="972" spans="2:3" hidden="1">
      <c r="B972" s="3" t="s">
        <v>79</v>
      </c>
      <c r="C972" s="3">
        <v>0</v>
      </c>
    </row>
    <row r="973" spans="2:3" hidden="1">
      <c r="B973" s="3" t="s">
        <v>80</v>
      </c>
      <c r="C973" s="3">
        <v>0</v>
      </c>
    </row>
    <row r="974" spans="2:3" hidden="1">
      <c r="B974" s="3" t="s">
        <v>81</v>
      </c>
      <c r="C974" s="3">
        <v>0</v>
      </c>
    </row>
    <row r="975" spans="2:3" hidden="1">
      <c r="B975" s="3" t="s">
        <v>82</v>
      </c>
      <c r="C975" s="3">
        <v>0</v>
      </c>
    </row>
    <row r="976" spans="2:3" hidden="1">
      <c r="B976" s="3" t="s">
        <v>83</v>
      </c>
      <c r="C976" s="3">
        <v>0</v>
      </c>
    </row>
    <row r="977" spans="2:3" hidden="1">
      <c r="B977" s="3" t="s">
        <v>84</v>
      </c>
      <c r="C977" s="3">
        <v>0</v>
      </c>
    </row>
    <row r="978" spans="2:3" hidden="1">
      <c r="B978" s="3" t="s">
        <v>85</v>
      </c>
      <c r="C978" s="3">
        <v>0</v>
      </c>
    </row>
    <row r="979" spans="2:3" hidden="1">
      <c r="B979" s="3" t="s">
        <v>86</v>
      </c>
      <c r="C979" s="3">
        <v>20</v>
      </c>
    </row>
    <row r="980" spans="2:3" hidden="1">
      <c r="B980" s="3" t="s">
        <v>87</v>
      </c>
      <c r="C980" s="3">
        <v>35</v>
      </c>
    </row>
    <row r="981" spans="2:3" hidden="1">
      <c r="B981" s="3" t="s">
        <v>88</v>
      </c>
      <c r="C981" s="3">
        <v>0</v>
      </c>
    </row>
    <row r="982" spans="2:3" hidden="1">
      <c r="B982" s="3" t="s">
        <v>89</v>
      </c>
      <c r="C982" s="3">
        <v>0</v>
      </c>
    </row>
    <row r="983" spans="2:3" hidden="1">
      <c r="B983" s="3" t="s">
        <v>90</v>
      </c>
      <c r="C983" s="3">
        <v>0</v>
      </c>
    </row>
    <row r="984" spans="2:3" hidden="1">
      <c r="B984" s="3" t="s">
        <v>91</v>
      </c>
      <c r="C984" s="3">
        <v>0</v>
      </c>
    </row>
    <row r="985" spans="2:3" hidden="1">
      <c r="B985" s="3" t="s">
        <v>92</v>
      </c>
      <c r="C985" s="3">
        <v>0</v>
      </c>
    </row>
    <row r="986" spans="2:3" hidden="1">
      <c r="B986" s="3" t="s">
        <v>93</v>
      </c>
      <c r="C986" s="3">
        <v>0</v>
      </c>
    </row>
    <row r="987" spans="2:3" hidden="1">
      <c r="B987" s="3" t="s">
        <v>94</v>
      </c>
      <c r="C987" s="3">
        <v>0.49</v>
      </c>
    </row>
    <row r="988" spans="2:3" hidden="1">
      <c r="B988" s="3" t="s">
        <v>95</v>
      </c>
      <c r="C988" s="3">
        <v>0.4</v>
      </c>
    </row>
    <row r="989" spans="2:3" hidden="1">
      <c r="B989" s="3" t="s">
        <v>96</v>
      </c>
      <c r="C989" s="3">
        <v>0</v>
      </c>
    </row>
    <row r="990" spans="2:3" hidden="1">
      <c r="B990" s="3" t="s">
        <v>97</v>
      </c>
      <c r="C990" s="3">
        <v>0</v>
      </c>
    </row>
    <row r="991" spans="2:3" hidden="1">
      <c r="B991" s="3" t="s">
        <v>98</v>
      </c>
      <c r="C991" s="3">
        <v>0</v>
      </c>
    </row>
    <row r="992" spans="2:3" hidden="1">
      <c r="B992" s="3" t="s">
        <v>99</v>
      </c>
      <c r="C992" s="3">
        <v>0</v>
      </c>
    </row>
    <row r="993" spans="2:3" hidden="1">
      <c r="B993" s="3" t="s">
        <v>100</v>
      </c>
      <c r="C993" s="3">
        <v>0</v>
      </c>
    </row>
    <row r="994" spans="2:3" hidden="1">
      <c r="B994" s="3" t="s">
        <v>101</v>
      </c>
      <c r="C994" s="3">
        <v>0</v>
      </c>
    </row>
    <row r="995" spans="2:3" hidden="1">
      <c r="B995" s="3" t="s">
        <v>102</v>
      </c>
      <c r="C995" s="3">
        <v>1</v>
      </c>
    </row>
    <row r="996" spans="2:3" hidden="1">
      <c r="B996" s="3" t="s">
        <v>103</v>
      </c>
      <c r="C996" s="3">
        <v>0</v>
      </c>
    </row>
    <row r="997" spans="2:3" hidden="1">
      <c r="B997" s="3" t="s">
        <v>104</v>
      </c>
      <c r="C997" s="3">
        <v>0</v>
      </c>
    </row>
    <row r="998" spans="2:3" hidden="1">
      <c r="B998" s="3" t="s">
        <v>105</v>
      </c>
      <c r="C998" s="3">
        <v>1</v>
      </c>
    </row>
    <row r="999" spans="2:3" hidden="1">
      <c r="B999" s="3" t="s">
        <v>106</v>
      </c>
      <c r="C999" s="3">
        <v>0</v>
      </c>
    </row>
    <row r="1000" spans="2:3" hidden="1">
      <c r="B1000" s="3" t="s">
        <v>107</v>
      </c>
      <c r="C1000" s="3">
        <v>0</v>
      </c>
    </row>
    <row r="1001" spans="2:3" hidden="1">
      <c r="B1001" s="3" t="s">
        <v>108</v>
      </c>
      <c r="C1001" s="3">
        <v>0</v>
      </c>
    </row>
    <row r="1002" spans="2:3" hidden="1">
      <c r="B1002" s="3" t="s">
        <v>109</v>
      </c>
      <c r="C1002" s="3">
        <v>0</v>
      </c>
    </row>
    <row r="1003" spans="2:3" hidden="1">
      <c r="B1003" s="3" t="s">
        <v>110</v>
      </c>
      <c r="C1003" s="3">
        <v>8.75</v>
      </c>
    </row>
    <row r="1004" spans="2:3" hidden="1">
      <c r="B1004" s="3" t="s">
        <v>111</v>
      </c>
      <c r="C1004" s="3">
        <v>0</v>
      </c>
    </row>
    <row r="1005" spans="2:3" hidden="1">
      <c r="B1005" s="3" t="s">
        <v>112</v>
      </c>
      <c r="C1005" s="3">
        <v>0</v>
      </c>
    </row>
    <row r="1006" spans="2:3" hidden="1">
      <c r="B1006" s="3" t="s">
        <v>113</v>
      </c>
      <c r="C1006" s="3">
        <v>0</v>
      </c>
    </row>
    <row r="1007" spans="2:3" hidden="1">
      <c r="B1007" s="3" t="s">
        <v>114</v>
      </c>
      <c r="C1007" s="3">
        <v>0</v>
      </c>
    </row>
    <row r="1008" spans="2:3" hidden="1">
      <c r="B1008" s="3" t="s">
        <v>115</v>
      </c>
      <c r="C1008" s="3">
        <v>0</v>
      </c>
    </row>
    <row r="1009" spans="2:3" hidden="1">
      <c r="B1009" s="3" t="s">
        <v>116</v>
      </c>
      <c r="C1009" s="3">
        <v>0</v>
      </c>
    </row>
    <row r="1010" spans="2:3" hidden="1">
      <c r="B1010" s="3" t="s">
        <v>117</v>
      </c>
      <c r="C1010" s="3">
        <v>0</v>
      </c>
    </row>
    <row r="1011" spans="2:3" hidden="1">
      <c r="B1011" s="3" t="s">
        <v>118</v>
      </c>
      <c r="C1011" s="3">
        <v>0</v>
      </c>
    </row>
    <row r="1012" spans="2:3" hidden="1">
      <c r="B1012" s="3" t="s">
        <v>119</v>
      </c>
      <c r="C1012" s="3">
        <v>0</v>
      </c>
    </row>
    <row r="1013" spans="2:3" hidden="1">
      <c r="B1013" s="3" t="s">
        <v>120</v>
      </c>
      <c r="C1013" s="3">
        <v>0</v>
      </c>
    </row>
    <row r="1014" spans="2:3" hidden="1">
      <c r="B1014" s="3" t="s">
        <v>121</v>
      </c>
      <c r="C1014" s="3">
        <v>0</v>
      </c>
    </row>
    <row r="1015" spans="2:3" hidden="1">
      <c r="B1015" s="3" t="s">
        <v>122</v>
      </c>
      <c r="C1015" s="3">
        <v>0</v>
      </c>
    </row>
    <row r="1016" spans="2:3" hidden="1">
      <c r="B1016" s="3" t="s">
        <v>123</v>
      </c>
      <c r="C1016" s="3">
        <v>0</v>
      </c>
    </row>
    <row r="1017" spans="2:3" hidden="1">
      <c r="B1017" s="3" t="s">
        <v>124</v>
      </c>
      <c r="C1017" s="3">
        <v>0</v>
      </c>
    </row>
    <row r="1018" spans="2:3" hidden="1">
      <c r="B1018" s="3" t="s">
        <v>125</v>
      </c>
      <c r="C1018" s="3">
        <v>0.5</v>
      </c>
    </row>
    <row r="1019" spans="2:3" hidden="1">
      <c r="B1019" s="3" t="s">
        <v>126</v>
      </c>
      <c r="C1019" s="3">
        <v>13.5</v>
      </c>
    </row>
    <row r="1020" spans="2:3" hidden="1">
      <c r="B1020" s="3" t="s">
        <v>127</v>
      </c>
      <c r="C1020" s="3">
        <v>18</v>
      </c>
    </row>
    <row r="1021" spans="2:3" hidden="1">
      <c r="B1021" s="3" t="s">
        <v>128</v>
      </c>
      <c r="C1021" s="3">
        <v>0</v>
      </c>
    </row>
    <row r="1022" spans="2:3" hidden="1">
      <c r="B1022" s="3" t="s">
        <v>129</v>
      </c>
      <c r="C1022" s="3">
        <v>0</v>
      </c>
    </row>
    <row r="1023" spans="2:3" hidden="1">
      <c r="B1023" s="3" t="s">
        <v>130</v>
      </c>
      <c r="C1023" s="3">
        <v>0</v>
      </c>
    </row>
    <row r="1024" spans="2:3" hidden="1">
      <c r="B1024" s="3" t="s">
        <v>131</v>
      </c>
      <c r="C1024" s="3">
        <v>3600</v>
      </c>
    </row>
    <row r="1025" spans="2:3" hidden="1">
      <c r="B1025" s="3" t="s">
        <v>132</v>
      </c>
      <c r="C1025" s="3">
        <v>0</v>
      </c>
    </row>
    <row r="1026" spans="2:3" hidden="1">
      <c r="B1026" s="3" t="s">
        <v>133</v>
      </c>
      <c r="C1026" s="3">
        <v>0</v>
      </c>
    </row>
    <row r="1027" spans="2:3" hidden="1">
      <c r="B1027" s="3" t="s">
        <v>134</v>
      </c>
      <c r="C1027" s="3">
        <v>0</v>
      </c>
    </row>
    <row r="1028" spans="2:3" hidden="1">
      <c r="B1028" s="3" t="s">
        <v>135</v>
      </c>
      <c r="C1028" s="3">
        <v>0</v>
      </c>
    </row>
    <row r="1029" spans="2:3" hidden="1">
      <c r="B1029" s="3" t="s">
        <v>136</v>
      </c>
      <c r="C1029" s="3">
        <v>6</v>
      </c>
    </row>
    <row r="1030" spans="2:3" hidden="1">
      <c r="B1030" s="3" t="s">
        <v>137</v>
      </c>
      <c r="C1030" s="3">
        <v>3.65</v>
      </c>
    </row>
    <row r="1031" spans="2:3" hidden="1">
      <c r="B1031" s="3" t="s">
        <v>138</v>
      </c>
      <c r="C1031" s="3">
        <v>3.38</v>
      </c>
    </row>
    <row r="1032" spans="2:3" hidden="1">
      <c r="B1032" s="3" t="s">
        <v>139</v>
      </c>
      <c r="C1032" s="3">
        <v>0</v>
      </c>
    </row>
    <row r="1033" spans="2:3" hidden="1">
      <c r="B1033" s="3" t="s">
        <v>140</v>
      </c>
      <c r="C1033" s="3">
        <v>0</v>
      </c>
    </row>
    <row r="1034" spans="2:3" hidden="1">
      <c r="B1034" s="3" t="s">
        <v>141</v>
      </c>
      <c r="C1034" s="3">
        <v>0</v>
      </c>
    </row>
    <row r="1035" spans="2:3" hidden="1">
      <c r="B1035" s="3" t="s">
        <v>142</v>
      </c>
      <c r="C1035" s="3">
        <v>0</v>
      </c>
    </row>
    <row r="1036" spans="2:3" hidden="1">
      <c r="B1036" s="3" t="s">
        <v>143</v>
      </c>
      <c r="C1036" s="3">
        <v>0</v>
      </c>
    </row>
    <row r="1037" spans="2:3" hidden="1">
      <c r="B1037" s="3" t="s">
        <v>144</v>
      </c>
      <c r="C1037" s="3">
        <v>0</v>
      </c>
    </row>
    <row r="1038" spans="2:3" hidden="1">
      <c r="B1038" s="3" t="s">
        <v>145</v>
      </c>
      <c r="C1038" s="3">
        <v>0</v>
      </c>
    </row>
    <row r="1039" spans="2:3" hidden="1">
      <c r="B1039" s="3" t="s">
        <v>146</v>
      </c>
      <c r="C1039" s="3">
        <v>0</v>
      </c>
    </row>
    <row r="1040" spans="2:3" hidden="1">
      <c r="B1040" s="3" t="s">
        <v>147</v>
      </c>
      <c r="C1040" s="3">
        <v>0</v>
      </c>
    </row>
    <row r="1041" spans="2:3" hidden="1">
      <c r="B1041" s="3" t="s">
        <v>148</v>
      </c>
      <c r="C1041" s="3">
        <v>5</v>
      </c>
    </row>
    <row r="1042" spans="2:3" hidden="1">
      <c r="B1042" s="3" t="s">
        <v>149</v>
      </c>
      <c r="C1042" s="3">
        <v>0</v>
      </c>
    </row>
    <row r="1043" spans="2:3" hidden="1">
      <c r="B1043" s="3" t="s">
        <v>150</v>
      </c>
      <c r="C1043" s="3">
        <v>0</v>
      </c>
    </row>
    <row r="1044" spans="2:3" hidden="1">
      <c r="B1044" s="3" t="s">
        <v>151</v>
      </c>
      <c r="C1044" s="3">
        <v>0</v>
      </c>
    </row>
    <row r="1045" spans="2:3" hidden="1">
      <c r="B1045" s="3" t="s">
        <v>152</v>
      </c>
      <c r="C1045" s="3">
        <v>6800</v>
      </c>
    </row>
    <row r="1046" spans="2:3" hidden="1">
      <c r="B1046" s="3" t="s">
        <v>153</v>
      </c>
      <c r="C1046" s="3">
        <v>0</v>
      </c>
    </row>
    <row r="1047" spans="2:3" hidden="1">
      <c r="B1047" s="3" t="s">
        <v>154</v>
      </c>
      <c r="C1047" s="3">
        <v>0</v>
      </c>
    </row>
    <row r="1048" spans="2:3" hidden="1">
      <c r="B1048" s="3" t="s">
        <v>155</v>
      </c>
      <c r="C1048" s="3">
        <v>8500</v>
      </c>
    </row>
    <row r="1049" spans="2:3" hidden="1">
      <c r="B1049" s="3" t="s">
        <v>156</v>
      </c>
      <c r="C1049" s="3">
        <v>0</v>
      </c>
    </row>
    <row r="1050" spans="2:3" hidden="1">
      <c r="B1050" s="3" t="s">
        <v>157</v>
      </c>
      <c r="C1050" s="3">
        <v>15000</v>
      </c>
    </row>
    <row r="1051" spans="2:3" hidden="1">
      <c r="B1051" s="3" t="s">
        <v>158</v>
      </c>
      <c r="C1051" s="3">
        <v>3</v>
      </c>
    </row>
    <row r="1052" spans="2:3" hidden="1">
      <c r="B1052" s="3" t="s">
        <v>159</v>
      </c>
      <c r="C1052" s="3">
        <v>0</v>
      </c>
    </row>
    <row r="1053" spans="2:3" hidden="1">
      <c r="B1053" s="3" t="s">
        <v>160</v>
      </c>
      <c r="C1053" s="3">
        <v>0</v>
      </c>
    </row>
    <row r="1054" spans="2:3" hidden="1">
      <c r="B1054" s="3" t="s">
        <v>161</v>
      </c>
      <c r="C1054" s="3">
        <v>0</v>
      </c>
    </row>
    <row r="1055" spans="2:3" hidden="1">
      <c r="B1055" s="3" t="s">
        <v>162</v>
      </c>
      <c r="C1055" s="3">
        <v>0</v>
      </c>
    </row>
    <row r="1056" spans="2:3" hidden="1">
      <c r="B1056" s="3" t="s">
        <v>163</v>
      </c>
      <c r="C1056" s="3">
        <v>0</v>
      </c>
    </row>
    <row r="1057" spans="2:3" hidden="1">
      <c r="B1057" s="3" t="s">
        <v>164</v>
      </c>
      <c r="C1057" s="3">
        <v>0</v>
      </c>
    </row>
    <row r="1058" spans="2:3" hidden="1">
      <c r="B1058" s="3" t="s">
        <v>165</v>
      </c>
      <c r="C1058" s="3">
        <v>0</v>
      </c>
    </row>
    <row r="1059" spans="2:3" hidden="1">
      <c r="B1059" s="3" t="s">
        <v>166</v>
      </c>
      <c r="C1059" s="3">
        <v>0</v>
      </c>
    </row>
    <row r="1060" spans="2:3" hidden="1">
      <c r="B1060" s="3" t="s">
        <v>167</v>
      </c>
      <c r="C1060" s="3">
        <v>0</v>
      </c>
    </row>
    <row r="1061" spans="2:3" hidden="1">
      <c r="B1061" s="3" t="s">
        <v>168</v>
      </c>
      <c r="C1061" s="3">
        <v>0</v>
      </c>
    </row>
    <row r="1062" spans="2:3" hidden="1">
      <c r="B1062" s="3" t="s">
        <v>169</v>
      </c>
      <c r="C1062" s="3">
        <v>0</v>
      </c>
    </row>
    <row r="1063" spans="2:3" hidden="1">
      <c r="B1063" s="3" t="s">
        <v>170</v>
      </c>
      <c r="C1063" s="3">
        <v>0</v>
      </c>
    </row>
    <row r="1064" spans="2:3" hidden="1">
      <c r="B1064" s="3" t="s">
        <v>171</v>
      </c>
      <c r="C1064" s="3">
        <v>0</v>
      </c>
    </row>
    <row r="1065" spans="2:3" hidden="1">
      <c r="B1065" s="3" t="s">
        <v>172</v>
      </c>
      <c r="C1065" s="3">
        <v>0</v>
      </c>
    </row>
    <row r="1066" spans="2:3" hidden="1">
      <c r="B1066" s="3" t="s">
        <v>173</v>
      </c>
      <c r="C1066" s="3">
        <v>0</v>
      </c>
    </row>
    <row r="1067" spans="2:3" hidden="1">
      <c r="B1067" s="3" t="s">
        <v>174</v>
      </c>
      <c r="C1067" s="3">
        <v>0</v>
      </c>
    </row>
    <row r="1068" spans="2:3" hidden="1">
      <c r="B1068" s="3" t="s">
        <v>175</v>
      </c>
      <c r="C1068" s="3">
        <v>0</v>
      </c>
    </row>
    <row r="1069" spans="2:3" hidden="1">
      <c r="B1069" s="3" t="s">
        <v>176</v>
      </c>
      <c r="C1069" s="3">
        <v>0</v>
      </c>
    </row>
    <row r="1070" spans="2:3" hidden="1">
      <c r="B1070" s="3" t="s">
        <v>177</v>
      </c>
      <c r="C1070" s="3">
        <v>0</v>
      </c>
    </row>
    <row r="1071" spans="2:3" hidden="1">
      <c r="B1071" s="3" t="s">
        <v>178</v>
      </c>
      <c r="C1071" s="3">
        <v>0</v>
      </c>
    </row>
    <row r="1072" spans="2:3" hidden="1">
      <c r="B1072" s="3" t="s">
        <v>179</v>
      </c>
      <c r="C1072" s="3">
        <v>0</v>
      </c>
    </row>
    <row r="1073" spans="2:3" hidden="1">
      <c r="B1073" s="3" t="s">
        <v>180</v>
      </c>
      <c r="C1073" s="3">
        <v>0</v>
      </c>
    </row>
    <row r="1074" spans="2:3" hidden="1">
      <c r="B1074" s="3" t="s">
        <v>181</v>
      </c>
      <c r="C1074" s="3">
        <v>0</v>
      </c>
    </row>
    <row r="1075" spans="2:3" hidden="1">
      <c r="B1075" s="3" t="s">
        <v>182</v>
      </c>
      <c r="C1075" s="3">
        <v>0</v>
      </c>
    </row>
    <row r="1076" spans="2:3" hidden="1">
      <c r="B1076" s="3" t="s">
        <v>183</v>
      </c>
      <c r="C1076" s="3">
        <v>0</v>
      </c>
    </row>
    <row r="1077" spans="2:3" hidden="1">
      <c r="B1077" s="3" t="s">
        <v>184</v>
      </c>
      <c r="C1077" s="3">
        <v>0</v>
      </c>
    </row>
    <row r="1078" spans="2:3" hidden="1">
      <c r="B1078" s="3" t="s">
        <v>185</v>
      </c>
      <c r="C1078" s="3">
        <v>0</v>
      </c>
    </row>
    <row r="1079" spans="2:3" hidden="1">
      <c r="B1079" s="3" t="s">
        <v>186</v>
      </c>
      <c r="C1079" s="3">
        <v>0</v>
      </c>
    </row>
    <row r="1080" spans="2:3" hidden="1">
      <c r="B1080" s="3" t="s">
        <v>187</v>
      </c>
      <c r="C1080" s="3">
        <v>0</v>
      </c>
    </row>
    <row r="1081" spans="2:3" hidden="1">
      <c r="B1081" s="3" t="s">
        <v>188</v>
      </c>
      <c r="C1081" s="3">
        <v>0</v>
      </c>
    </row>
    <row r="1082" spans="2:3" hidden="1">
      <c r="B1082" s="3" t="s">
        <v>189</v>
      </c>
      <c r="C1082" s="3">
        <v>0</v>
      </c>
    </row>
    <row r="1083" spans="2:3" hidden="1">
      <c r="B1083" s="3" t="s">
        <v>190</v>
      </c>
      <c r="C1083" s="3">
        <v>0</v>
      </c>
    </row>
    <row r="1084" spans="2:3" hidden="1">
      <c r="B1084" s="3" t="s">
        <v>191</v>
      </c>
      <c r="C1084" s="3" t="s">
        <v>192</v>
      </c>
    </row>
    <row r="1085" spans="2:3" hidden="1">
      <c r="B1085" s="3" t="s">
        <v>193</v>
      </c>
      <c r="C1085" s="3" t="s">
        <v>194</v>
      </c>
    </row>
    <row r="1086" spans="2:3" hidden="1">
      <c r="B1086" s="3" t="s">
        <v>195</v>
      </c>
      <c r="C1086" s="3" t="s">
        <v>196</v>
      </c>
    </row>
    <row r="1087" spans="2:3" hidden="1">
      <c r="B1087" s="3" t="s">
        <v>197</v>
      </c>
      <c r="C1087" s="3" t="s">
        <v>198</v>
      </c>
    </row>
    <row r="1088" spans="2:3" hidden="1">
      <c r="B1088" s="3" t="s">
        <v>199</v>
      </c>
      <c r="C1088" s="3" t="s">
        <v>200</v>
      </c>
    </row>
    <row r="1089" spans="2:3" hidden="1">
      <c r="B1089" s="3" t="s">
        <v>201</v>
      </c>
      <c r="C1089" s="3" t="s">
        <v>202</v>
      </c>
    </row>
    <row r="1090" spans="2:3" hidden="1">
      <c r="B1090" s="3" t="s">
        <v>203</v>
      </c>
      <c r="C1090" s="3" t="s">
        <v>204</v>
      </c>
    </row>
    <row r="1091" spans="2:3" hidden="1">
      <c r="B1091" s="3" t="s">
        <v>205</v>
      </c>
      <c r="C1091" s="3" t="s">
        <v>206</v>
      </c>
    </row>
    <row r="1092" spans="2:3" hidden="1">
      <c r="B1092" s="3" t="s">
        <v>207</v>
      </c>
      <c r="C1092" s="3" t="s">
        <v>208</v>
      </c>
    </row>
    <row r="1093" spans="2:3" hidden="1">
      <c r="B1093" s="3" t="s">
        <v>209</v>
      </c>
      <c r="C1093" s="3" t="s">
        <v>210</v>
      </c>
    </row>
    <row r="1094" spans="2:3" hidden="1">
      <c r="B1094" s="3" t="s">
        <v>211</v>
      </c>
      <c r="C1094" s="3" t="s">
        <v>212</v>
      </c>
    </row>
    <row r="1095" spans="2:3" hidden="1">
      <c r="B1095" s="3" t="s">
        <v>213</v>
      </c>
      <c r="C1095" s="3" t="s">
        <v>214</v>
      </c>
    </row>
    <row r="1096" spans="2:3" hidden="1">
      <c r="B1096" s="3" t="s">
        <v>215</v>
      </c>
      <c r="C1096" s="3" t="s">
        <v>212</v>
      </c>
    </row>
    <row r="1097" spans="2:3" hidden="1">
      <c r="B1097" s="3" t="s">
        <v>216</v>
      </c>
      <c r="C1097" s="3" t="s">
        <v>204</v>
      </c>
    </row>
    <row r="1098" spans="2:3" hidden="1">
      <c r="B1098" s="3" t="s">
        <v>217</v>
      </c>
      <c r="C1098" s="3" t="s">
        <v>192</v>
      </c>
    </row>
    <row r="1099" spans="2:3" hidden="1">
      <c r="B1099" s="3" t="s">
        <v>218</v>
      </c>
      <c r="C1099" s="3" t="s">
        <v>212</v>
      </c>
    </row>
    <row r="1100" spans="2:3" hidden="1">
      <c r="B1100" s="3" t="s">
        <v>219</v>
      </c>
      <c r="C1100" s="3" t="s">
        <v>212</v>
      </c>
    </row>
    <row r="1101" spans="2:3" hidden="1">
      <c r="B1101" s="3" t="s">
        <v>220</v>
      </c>
      <c r="C1101" s="3" t="s">
        <v>200</v>
      </c>
    </row>
    <row r="1102" spans="2:3" hidden="1">
      <c r="B1102" s="3" t="s">
        <v>221</v>
      </c>
      <c r="C1102" s="3" t="s">
        <v>222</v>
      </c>
    </row>
    <row r="1103" spans="2:3" hidden="1">
      <c r="B1103" s="3" t="s">
        <v>223</v>
      </c>
      <c r="C1103" s="3" t="s">
        <v>196</v>
      </c>
    </row>
    <row r="1104" spans="2:3" hidden="1">
      <c r="B1104" s="3" t="s">
        <v>224</v>
      </c>
      <c r="C1104" s="3" t="s">
        <v>222</v>
      </c>
    </row>
    <row r="1105" spans="2:3" hidden="1">
      <c r="B1105" s="3" t="s">
        <v>225</v>
      </c>
      <c r="C1105" s="3" t="s">
        <v>226</v>
      </c>
    </row>
    <row r="1106" spans="2:3" hidden="1">
      <c r="B1106" s="3" t="s">
        <v>227</v>
      </c>
      <c r="C1106" s="3" t="s">
        <v>228</v>
      </c>
    </row>
    <row r="1107" spans="2:3" hidden="1">
      <c r="B1107" s="3" t="s">
        <v>229</v>
      </c>
      <c r="C1107" s="3" t="s">
        <v>230</v>
      </c>
    </row>
    <row r="1108" spans="2:3" hidden="1">
      <c r="B1108" s="3" t="s">
        <v>231</v>
      </c>
      <c r="C1108" s="3" t="s">
        <v>192</v>
      </c>
    </row>
    <row r="1109" spans="2:3" hidden="1">
      <c r="B1109" s="3" t="s">
        <v>232</v>
      </c>
      <c r="C1109" s="3" t="s">
        <v>200</v>
      </c>
    </row>
    <row r="1110" spans="2:3" hidden="1">
      <c r="B1110" s="3" t="s">
        <v>233</v>
      </c>
      <c r="C1110" s="3" t="s">
        <v>234</v>
      </c>
    </row>
    <row r="1111" spans="2:3" hidden="1">
      <c r="B1111" s="3" t="s">
        <v>235</v>
      </c>
      <c r="C1111" s="3" t="s">
        <v>236</v>
      </c>
    </row>
    <row r="1112" spans="2:3" hidden="1">
      <c r="B1112" s="3" t="s">
        <v>237</v>
      </c>
      <c r="C1112" s="3">
        <v>0</v>
      </c>
    </row>
    <row r="1113" spans="2:3" hidden="1">
      <c r="B1113" s="3" t="s">
        <v>238</v>
      </c>
      <c r="C1113" s="3">
        <v>0</v>
      </c>
    </row>
    <row r="1114" spans="2:3" hidden="1">
      <c r="B1114" s="3" t="s">
        <v>239</v>
      </c>
      <c r="C1114" s="3">
        <v>0</v>
      </c>
    </row>
    <row r="1115" spans="2:3" hidden="1">
      <c r="B1115" s="3" t="s">
        <v>240</v>
      </c>
      <c r="C1115" s="3">
        <v>0</v>
      </c>
    </row>
    <row r="1116" spans="2:3" hidden="1">
      <c r="B1116" s="3" t="s">
        <v>242</v>
      </c>
      <c r="C1116" s="3">
        <v>0</v>
      </c>
    </row>
    <row r="1117" spans="2:3" hidden="1">
      <c r="B1117" s="3" t="s">
        <v>243</v>
      </c>
      <c r="C1117" s="3">
        <v>0</v>
      </c>
    </row>
    <row r="1118" spans="2:3" hidden="1">
      <c r="B1118" s="3" t="s">
        <v>244</v>
      </c>
      <c r="C1118" s="3">
        <v>0</v>
      </c>
    </row>
    <row r="1119" spans="2:3" hidden="1">
      <c r="B1119" s="3" t="s">
        <v>245</v>
      </c>
      <c r="C1119" s="3">
        <v>0</v>
      </c>
    </row>
    <row r="1120" spans="2:3" hidden="1">
      <c r="B1120" s="3" t="s">
        <v>246</v>
      </c>
      <c r="C1120" s="3">
        <v>0</v>
      </c>
    </row>
    <row r="1121" spans="2:3" hidden="1">
      <c r="B1121" s="3" t="s">
        <v>247</v>
      </c>
      <c r="C1121" s="3">
        <v>0</v>
      </c>
    </row>
    <row r="1122" spans="2:3" hidden="1">
      <c r="B1122" s="3" t="s">
        <v>248</v>
      </c>
      <c r="C1122" s="3">
        <v>0</v>
      </c>
    </row>
    <row r="1123" spans="2:3" hidden="1">
      <c r="B1123" s="3" t="s">
        <v>249</v>
      </c>
      <c r="C1123" s="3" t="s">
        <v>250</v>
      </c>
    </row>
    <row r="1124" spans="2:3" hidden="1">
      <c r="B1124" s="3" t="s">
        <v>251</v>
      </c>
      <c r="C1124" s="3">
        <v>0</v>
      </c>
    </row>
    <row r="1125" spans="2:3" hidden="1">
      <c r="B1125" s="3" t="s">
        <v>252</v>
      </c>
      <c r="C1125" s="3">
        <v>0</v>
      </c>
    </row>
    <row r="1126" spans="2:3" hidden="1">
      <c r="B1126" s="3" t="s">
        <v>253</v>
      </c>
      <c r="C1126" s="3">
        <v>0</v>
      </c>
    </row>
    <row r="1127" spans="2:3" hidden="1">
      <c r="B1127" s="3" t="s">
        <v>254</v>
      </c>
      <c r="C1127" s="3">
        <v>0</v>
      </c>
    </row>
    <row r="1128" spans="2:3" hidden="1">
      <c r="B1128" s="3" t="s">
        <v>255</v>
      </c>
      <c r="C1128" s="3">
        <v>0</v>
      </c>
    </row>
    <row r="1129" spans="2:3" hidden="1">
      <c r="B1129" s="3" t="s">
        <v>256</v>
      </c>
      <c r="C1129" s="3">
        <v>0</v>
      </c>
    </row>
    <row r="1130" spans="2:3" hidden="1">
      <c r="B1130" s="3" t="s">
        <v>257</v>
      </c>
      <c r="C1130" s="3">
        <v>0</v>
      </c>
    </row>
    <row r="1131" spans="2:3" hidden="1">
      <c r="B1131" s="3" t="s">
        <v>258</v>
      </c>
      <c r="C1131" s="3" t="s">
        <v>259</v>
      </c>
    </row>
    <row r="1132" spans="2:3" hidden="1">
      <c r="B1132" s="3" t="s">
        <v>260</v>
      </c>
      <c r="C1132" s="3">
        <v>0</v>
      </c>
    </row>
    <row r="1133" spans="2:3" hidden="1">
      <c r="B1133" s="3" t="s">
        <v>261</v>
      </c>
      <c r="C1133" s="3">
        <v>0</v>
      </c>
    </row>
    <row r="1134" spans="2:3" hidden="1">
      <c r="B1134" s="3" t="s">
        <v>262</v>
      </c>
      <c r="C1134" s="3">
        <v>0</v>
      </c>
    </row>
    <row r="1135" spans="2:3" hidden="1">
      <c r="B1135" s="3" t="s">
        <v>263</v>
      </c>
      <c r="C1135" s="3">
        <v>0</v>
      </c>
    </row>
    <row r="1136" spans="2:3" hidden="1">
      <c r="B1136" s="3" t="s">
        <v>264</v>
      </c>
      <c r="C1136" s="3">
        <v>0</v>
      </c>
    </row>
    <row r="1137" spans="2:3" hidden="1">
      <c r="B1137" s="3" t="s">
        <v>265</v>
      </c>
      <c r="C1137" s="3">
        <v>0</v>
      </c>
    </row>
    <row r="1138" spans="2:3" hidden="1">
      <c r="B1138" s="3" t="s">
        <v>266</v>
      </c>
      <c r="C1138" s="3">
        <v>0</v>
      </c>
    </row>
    <row r="1139" spans="2:3" hidden="1">
      <c r="B1139" s="3" t="s">
        <v>267</v>
      </c>
      <c r="C1139" s="3">
        <v>0</v>
      </c>
    </row>
    <row r="1140" spans="2:3" hidden="1">
      <c r="B1140" s="3" t="s">
        <v>268</v>
      </c>
      <c r="C1140" s="3">
        <v>0</v>
      </c>
    </row>
    <row r="1141" spans="2:3" hidden="1">
      <c r="B1141" s="3" t="s">
        <v>269</v>
      </c>
      <c r="C1141" s="3">
        <v>0</v>
      </c>
    </row>
    <row r="1142" spans="2:3" hidden="1">
      <c r="B1142" s="3" t="s">
        <v>270</v>
      </c>
      <c r="C1142" s="3">
        <v>0</v>
      </c>
    </row>
    <row r="1143" spans="2:3" hidden="1">
      <c r="B1143" s="3" t="s">
        <v>271</v>
      </c>
      <c r="C1143" s="3">
        <v>0</v>
      </c>
    </row>
    <row r="1144" spans="2:3" hidden="1">
      <c r="B1144" s="3" t="s">
        <v>272</v>
      </c>
      <c r="C1144" s="3">
        <v>0</v>
      </c>
    </row>
    <row r="1145" spans="2:3" hidden="1">
      <c r="B1145" s="3" t="s">
        <v>273</v>
      </c>
      <c r="C1145" s="3">
        <v>0</v>
      </c>
    </row>
    <row r="1146" spans="2:3" hidden="1">
      <c r="B1146" s="3" t="s">
        <v>274</v>
      </c>
      <c r="C1146" s="3">
        <v>0</v>
      </c>
    </row>
    <row r="1147" spans="2:3" hidden="1">
      <c r="B1147" s="3" t="s">
        <v>275</v>
      </c>
      <c r="C1147" s="3">
        <v>0</v>
      </c>
    </row>
    <row r="1148" spans="2:3" hidden="1">
      <c r="B1148" s="3" t="s">
        <v>276</v>
      </c>
      <c r="C1148" s="3">
        <v>0</v>
      </c>
    </row>
    <row r="1149" spans="2:3" hidden="1">
      <c r="B1149" s="3" t="s">
        <v>277</v>
      </c>
      <c r="C1149" s="3" t="s">
        <v>241</v>
      </c>
    </row>
    <row r="1150" spans="2:3" hidden="1">
      <c r="B1150" s="3" t="s">
        <v>278</v>
      </c>
      <c r="C1150" s="3">
        <v>0</v>
      </c>
    </row>
    <row r="1151" spans="2:3" hidden="1">
      <c r="B1151" s="3" t="s">
        <v>279</v>
      </c>
      <c r="C1151" s="3">
        <v>0</v>
      </c>
    </row>
    <row r="1152" spans="2:3" hidden="1">
      <c r="B1152" s="3" t="s">
        <v>280</v>
      </c>
      <c r="C1152" s="3">
        <v>0</v>
      </c>
    </row>
    <row r="1153" spans="2:3" hidden="1">
      <c r="B1153" s="3" t="s">
        <v>281</v>
      </c>
      <c r="C1153" s="3">
        <v>0</v>
      </c>
    </row>
    <row r="1154" spans="2:3" hidden="1">
      <c r="B1154" s="3" t="s">
        <v>282</v>
      </c>
      <c r="C1154" s="3">
        <v>0</v>
      </c>
    </row>
    <row r="1155" spans="2:3" hidden="1">
      <c r="B1155" s="3" t="s">
        <v>283</v>
      </c>
      <c r="C1155" s="3">
        <v>0</v>
      </c>
    </row>
    <row r="1156" spans="2:3" hidden="1">
      <c r="B1156" s="3" t="s">
        <v>284</v>
      </c>
      <c r="C1156" s="3">
        <v>0</v>
      </c>
    </row>
    <row r="1157" spans="2:3" hidden="1">
      <c r="B1157" s="3" t="s">
        <v>285</v>
      </c>
      <c r="C1157" s="3">
        <v>0</v>
      </c>
    </row>
    <row r="1158" spans="2:3" hidden="1">
      <c r="B1158" s="3" t="s">
        <v>286</v>
      </c>
      <c r="C1158" s="3">
        <v>0</v>
      </c>
    </row>
    <row r="1159" spans="2:3" hidden="1">
      <c r="B1159" s="3" t="s">
        <v>287</v>
      </c>
      <c r="C1159" s="3">
        <v>0</v>
      </c>
    </row>
    <row r="1160" spans="2:3" hidden="1">
      <c r="B1160" s="3" t="s">
        <v>288</v>
      </c>
      <c r="C1160" s="3">
        <v>0</v>
      </c>
    </row>
    <row r="1161" spans="2:3" hidden="1">
      <c r="B1161" s="3" t="s">
        <v>289</v>
      </c>
      <c r="C1161" s="3">
        <v>1</v>
      </c>
    </row>
    <row r="1162" spans="2:3" hidden="1">
      <c r="B1162" s="3" t="s">
        <v>290</v>
      </c>
      <c r="C1162" s="3">
        <v>0</v>
      </c>
    </row>
    <row r="1163" spans="2:3" hidden="1">
      <c r="B1163" s="3" t="s">
        <v>291</v>
      </c>
      <c r="C1163" s="3">
        <v>0</v>
      </c>
    </row>
    <row r="1164" spans="2:3" hidden="1">
      <c r="B1164" s="3" t="s">
        <v>292</v>
      </c>
      <c r="C1164" s="3">
        <v>0</v>
      </c>
    </row>
    <row r="1165" spans="2:3" hidden="1">
      <c r="B1165" s="3" t="s">
        <v>293</v>
      </c>
      <c r="C1165" s="3">
        <v>0</v>
      </c>
    </row>
    <row r="1166" spans="2:3" hidden="1">
      <c r="B1166" s="3" t="s">
        <v>294</v>
      </c>
      <c r="C1166" s="3">
        <v>0</v>
      </c>
    </row>
    <row r="1167" spans="2:3" hidden="1">
      <c r="B1167" s="3" t="s">
        <v>295</v>
      </c>
      <c r="C1167" s="3">
        <v>0</v>
      </c>
    </row>
    <row r="1168" spans="2:3" hidden="1">
      <c r="B1168" s="3" t="s">
        <v>296</v>
      </c>
      <c r="C1168" s="3">
        <v>0</v>
      </c>
    </row>
    <row r="1169" spans="2:3" hidden="1">
      <c r="B1169" s="3" t="s">
        <v>297</v>
      </c>
      <c r="C1169" s="3">
        <v>1</v>
      </c>
    </row>
    <row r="1170" spans="2:3" hidden="1">
      <c r="B1170" s="3" t="s">
        <v>298</v>
      </c>
      <c r="C1170" s="3">
        <v>0</v>
      </c>
    </row>
    <row r="1171" spans="2:3" hidden="1">
      <c r="B1171" s="3" t="s">
        <v>299</v>
      </c>
      <c r="C1171" s="3">
        <v>0</v>
      </c>
    </row>
    <row r="1172" spans="2:3" hidden="1">
      <c r="B1172" s="3" t="s">
        <v>300</v>
      </c>
      <c r="C1172" s="3">
        <v>0</v>
      </c>
    </row>
    <row r="1173" spans="2:3" hidden="1">
      <c r="B1173" s="3" t="s">
        <v>301</v>
      </c>
      <c r="C1173" s="3">
        <v>0</v>
      </c>
    </row>
    <row r="1174" spans="2:3" hidden="1">
      <c r="B1174" s="3" t="s">
        <v>302</v>
      </c>
      <c r="C1174" s="3">
        <v>0</v>
      </c>
    </row>
    <row r="1175" spans="2:3" hidden="1">
      <c r="B1175" s="3" t="s">
        <v>303</v>
      </c>
      <c r="C1175" s="3">
        <v>0</v>
      </c>
    </row>
    <row r="1176" spans="2:3" hidden="1">
      <c r="B1176" s="3" t="s">
        <v>304</v>
      </c>
      <c r="C1176" s="3">
        <v>0</v>
      </c>
    </row>
    <row r="1177" spans="2:3" hidden="1">
      <c r="B1177" s="3" t="s">
        <v>305</v>
      </c>
      <c r="C1177" s="3">
        <v>0</v>
      </c>
    </row>
    <row r="1178" spans="2:3" hidden="1">
      <c r="B1178" s="3" t="s">
        <v>306</v>
      </c>
      <c r="C1178" s="3">
        <v>0</v>
      </c>
    </row>
    <row r="1179" spans="2:3" hidden="1">
      <c r="B1179" s="3" t="s">
        <v>307</v>
      </c>
      <c r="C1179" s="3">
        <v>0</v>
      </c>
    </row>
    <row r="1180" spans="2:3" hidden="1">
      <c r="B1180" s="3" t="s">
        <v>308</v>
      </c>
      <c r="C1180" s="3">
        <v>0</v>
      </c>
    </row>
    <row r="1181" spans="2:3" hidden="1">
      <c r="B1181" s="3" t="s">
        <v>309</v>
      </c>
      <c r="C1181" s="3">
        <v>0</v>
      </c>
    </row>
    <row r="1182" spans="2:3" hidden="1">
      <c r="B1182" s="3" t="s">
        <v>310</v>
      </c>
      <c r="C1182" s="3">
        <v>0</v>
      </c>
    </row>
    <row r="1183" spans="2:3" hidden="1">
      <c r="B1183" s="3" t="s">
        <v>311</v>
      </c>
      <c r="C1183" s="3">
        <v>0</v>
      </c>
    </row>
    <row r="1184" spans="2:3" hidden="1">
      <c r="B1184" s="3" t="s">
        <v>312</v>
      </c>
      <c r="C1184" s="3">
        <v>0</v>
      </c>
    </row>
    <row r="1185" spans="2:3" hidden="1">
      <c r="B1185" s="3" t="s">
        <v>313</v>
      </c>
      <c r="C1185" s="3">
        <v>0</v>
      </c>
    </row>
    <row r="1186" spans="2:3" hidden="1">
      <c r="B1186" s="3" t="s">
        <v>314</v>
      </c>
      <c r="C1186" s="3">
        <v>0</v>
      </c>
    </row>
    <row r="1187" spans="2:3" hidden="1">
      <c r="B1187" s="3" t="s">
        <v>315</v>
      </c>
      <c r="C1187" s="3">
        <v>0</v>
      </c>
    </row>
    <row r="1188" spans="2:3" hidden="1">
      <c r="B1188" s="3" t="s">
        <v>316</v>
      </c>
      <c r="C1188" s="3">
        <v>1</v>
      </c>
    </row>
    <row r="1189" spans="2:3" hidden="1">
      <c r="B1189" s="3" t="s">
        <v>317</v>
      </c>
      <c r="C1189" s="3">
        <v>0</v>
      </c>
    </row>
    <row r="1190" spans="2:3" hidden="1">
      <c r="B1190" s="3" t="s">
        <v>318</v>
      </c>
      <c r="C1190" s="3">
        <v>0</v>
      </c>
    </row>
    <row r="1191" spans="2:3" hidden="1">
      <c r="B1191" s="3" t="s">
        <v>319</v>
      </c>
      <c r="C1191" s="3">
        <v>0</v>
      </c>
    </row>
    <row r="1192" spans="2:3" hidden="1">
      <c r="B1192" s="3" t="s">
        <v>320</v>
      </c>
      <c r="C1192" s="3">
        <v>0</v>
      </c>
    </row>
    <row r="1193" spans="2:3" hidden="1">
      <c r="B1193" s="3" t="s">
        <v>321</v>
      </c>
      <c r="C1193" s="3">
        <v>0</v>
      </c>
    </row>
    <row r="1194" spans="2:3" hidden="1">
      <c r="B1194" s="3" t="s">
        <v>322</v>
      </c>
      <c r="C1194" s="3">
        <v>0</v>
      </c>
    </row>
    <row r="1195" spans="2:3" hidden="1">
      <c r="B1195" s="3" t="s">
        <v>323</v>
      </c>
      <c r="C1195" s="3">
        <v>0</v>
      </c>
    </row>
    <row r="1196" spans="2:3" hidden="1">
      <c r="B1196" s="3" t="s">
        <v>324</v>
      </c>
      <c r="C1196" s="3">
        <v>0</v>
      </c>
    </row>
    <row r="1197" spans="2:3" hidden="1">
      <c r="B1197" s="3" t="s">
        <v>325</v>
      </c>
      <c r="C1197" s="3">
        <v>0</v>
      </c>
    </row>
    <row r="1198" spans="2:3" hidden="1">
      <c r="B1198" s="3" t="s">
        <v>326</v>
      </c>
      <c r="C1198" s="3">
        <v>0</v>
      </c>
    </row>
    <row r="1199" spans="2:3" hidden="1">
      <c r="B1199" s="3" t="s">
        <v>327</v>
      </c>
      <c r="C1199" s="3">
        <v>0</v>
      </c>
    </row>
    <row r="1200" spans="2:3" hidden="1">
      <c r="B1200" s="3" t="s">
        <v>328</v>
      </c>
      <c r="C1200" s="3">
        <v>0</v>
      </c>
    </row>
    <row r="1201" spans="2:3" hidden="1">
      <c r="B1201" s="3" t="s">
        <v>329</v>
      </c>
      <c r="C1201" s="3">
        <v>0</v>
      </c>
    </row>
    <row r="1202" spans="2:3" hidden="1">
      <c r="B1202" s="3" t="s">
        <v>330</v>
      </c>
      <c r="C1202" s="3">
        <v>0</v>
      </c>
    </row>
    <row r="1203" spans="2:3" hidden="1">
      <c r="B1203" s="3" t="s">
        <v>331</v>
      </c>
      <c r="C1203" s="3">
        <v>0</v>
      </c>
    </row>
    <row r="1204" spans="2:3" hidden="1">
      <c r="B1204" s="3" t="s">
        <v>332</v>
      </c>
      <c r="C1204" s="3">
        <v>0</v>
      </c>
    </row>
    <row r="1205" spans="2:3" hidden="1">
      <c r="B1205" s="3" t="s">
        <v>333</v>
      </c>
      <c r="C1205" s="3">
        <v>0</v>
      </c>
    </row>
    <row r="1206" spans="2:3" hidden="1">
      <c r="B1206" s="3" t="s">
        <v>334</v>
      </c>
      <c r="C1206" s="3">
        <v>0</v>
      </c>
    </row>
    <row r="1207" spans="2:3" hidden="1">
      <c r="B1207" s="3" t="s">
        <v>335</v>
      </c>
      <c r="C1207" s="3">
        <v>0</v>
      </c>
    </row>
    <row r="1208" spans="2:3" hidden="1">
      <c r="B1208" s="3" t="s">
        <v>336</v>
      </c>
      <c r="C1208" s="3">
        <v>0</v>
      </c>
    </row>
    <row r="1209" spans="2:3" hidden="1">
      <c r="B1209" s="3" t="s">
        <v>337</v>
      </c>
      <c r="C1209" s="3">
        <v>0</v>
      </c>
    </row>
    <row r="1210" spans="2:3" hidden="1">
      <c r="B1210" s="3" t="s">
        <v>338</v>
      </c>
      <c r="C1210" s="3">
        <v>0</v>
      </c>
    </row>
    <row r="1211" spans="2:3" hidden="1">
      <c r="B1211" s="3" t="s">
        <v>339</v>
      </c>
      <c r="C1211" s="3">
        <v>0</v>
      </c>
    </row>
    <row r="1212" spans="2:3" hidden="1">
      <c r="B1212" s="3" t="s">
        <v>340</v>
      </c>
      <c r="C1212" s="3">
        <v>0</v>
      </c>
    </row>
    <row r="1213" spans="2:3" hidden="1">
      <c r="B1213" s="3" t="s">
        <v>341</v>
      </c>
      <c r="C1213" s="3">
        <v>0</v>
      </c>
    </row>
    <row r="1214" spans="2:3" hidden="1">
      <c r="B1214" s="3" t="s">
        <v>342</v>
      </c>
      <c r="C1214" s="3">
        <v>0</v>
      </c>
    </row>
    <row r="1215" spans="2:3" hidden="1">
      <c r="B1215" s="3" t="s">
        <v>343</v>
      </c>
      <c r="C1215" s="3">
        <v>0</v>
      </c>
    </row>
    <row r="1216" spans="2:3" hidden="1">
      <c r="B1216" s="3" t="s">
        <v>344</v>
      </c>
      <c r="C1216" s="3">
        <v>0</v>
      </c>
    </row>
    <row r="1217" spans="2:3" hidden="1">
      <c r="B1217" s="3" t="s">
        <v>345</v>
      </c>
      <c r="C1217" s="3">
        <v>0</v>
      </c>
    </row>
    <row r="1218" spans="2:3" hidden="1">
      <c r="B1218" s="3" t="s">
        <v>346</v>
      </c>
      <c r="C1218" s="3">
        <v>0</v>
      </c>
    </row>
    <row r="1219" spans="2:3" hidden="1">
      <c r="B1219" s="3" t="s">
        <v>347</v>
      </c>
      <c r="C1219" s="3">
        <v>0</v>
      </c>
    </row>
    <row r="1220" spans="2:3" hidden="1">
      <c r="B1220" s="3" t="s">
        <v>348</v>
      </c>
      <c r="C1220" s="3">
        <v>0</v>
      </c>
    </row>
    <row r="1221" spans="2:3" hidden="1">
      <c r="B1221" s="3" t="s">
        <v>349</v>
      </c>
      <c r="C1221" s="3">
        <v>0</v>
      </c>
    </row>
    <row r="1222" spans="2:3" hidden="1">
      <c r="B1222" s="3" t="s">
        <v>350</v>
      </c>
      <c r="C1222" s="3">
        <v>0</v>
      </c>
    </row>
    <row r="1223" spans="2:3" hidden="1">
      <c r="B1223" s="3" t="s">
        <v>351</v>
      </c>
      <c r="C1223" s="3">
        <v>0</v>
      </c>
    </row>
    <row r="1224" spans="2:3" hidden="1">
      <c r="B1224" s="3" t="s">
        <v>352</v>
      </c>
      <c r="C1224" s="3">
        <v>0</v>
      </c>
    </row>
    <row r="1225" spans="2:3" hidden="1">
      <c r="B1225" s="3" t="s">
        <v>353</v>
      </c>
      <c r="C1225" s="3">
        <v>0</v>
      </c>
    </row>
    <row r="1226" spans="2:3" hidden="1">
      <c r="B1226" s="3" t="s">
        <v>354</v>
      </c>
      <c r="C1226" s="3">
        <v>0</v>
      </c>
    </row>
    <row r="1227" spans="2:3" hidden="1">
      <c r="B1227" s="3" t="s">
        <v>355</v>
      </c>
      <c r="C1227" s="3">
        <v>0</v>
      </c>
    </row>
    <row r="1228" spans="2:3" hidden="1">
      <c r="B1228" s="3" t="s">
        <v>356</v>
      </c>
      <c r="C1228" s="3">
        <v>0</v>
      </c>
    </row>
    <row r="1229" spans="2:3" hidden="1">
      <c r="B1229" s="3" t="s">
        <v>357</v>
      </c>
      <c r="C1229" s="3">
        <v>0</v>
      </c>
    </row>
  </sheetData>
  <sheetProtection sheet="1" objects="1" scenarios="1"/>
  <protectedRanges>
    <protectedRange sqref="D3 D5:E6 C6 E9 F7:F8 D13:E13 D15:D17 D19 D21:D25 E21:E24 F18 F26:F27 D32 F33 D38 F40 B54:B57 E54:F57 B63:D73" name="Grey cells"/>
  </protectedRanges>
  <mergeCells count="9">
    <mergeCell ref="B2:F2"/>
    <mergeCell ref="I4:P4"/>
    <mergeCell ref="H5:H12"/>
    <mergeCell ref="B52:F52"/>
    <mergeCell ref="B60:B61"/>
    <mergeCell ref="C60:C61"/>
    <mergeCell ref="E60:E61"/>
    <mergeCell ref="F60:F61"/>
    <mergeCell ref="I60:I61"/>
  </mergeCells>
  <conditionalFormatting sqref="B72:C72">
    <cfRule type="expression" dxfId="35" priority="10" stopIfTrue="1">
      <formula>MID($B72,1,4)="Rent"</formula>
    </cfRule>
  </conditionalFormatting>
  <conditionalFormatting sqref="C31:D32">
    <cfRule type="expression" dxfId="34" priority="5">
      <formula>#REF!="yes"</formula>
    </cfRule>
  </conditionalFormatting>
  <conditionalFormatting sqref="D4">
    <cfRule type="expression" dxfId="33" priority="9">
      <formula>$F$1="no"</formula>
    </cfRule>
  </conditionalFormatting>
  <conditionalFormatting sqref="D12">
    <cfRule type="expression" dxfId="32" priority="8">
      <formula>#REF!="no"</formula>
    </cfRule>
  </conditionalFormatting>
  <conditionalFormatting sqref="D33 C34:E34">
    <cfRule type="expression" dxfId="31" priority="11">
      <formula>#REF!="yes"</formula>
    </cfRule>
  </conditionalFormatting>
  <conditionalFormatting sqref="D13:E30">
    <cfRule type="expression" dxfId="30" priority="1">
      <formula>#REF!="yes"</formula>
    </cfRule>
  </conditionalFormatting>
  <dataValidations count="1">
    <dataValidation type="list" allowBlank="1" showInputMessage="1" showErrorMessage="1" sqref="F1" xr:uid="{16B831C4-31B6-4193-ADFB-25D207E4A3E0}">
      <formula1>"Yes, No"</formula1>
    </dataValidation>
  </dataValidations>
  <pageMargins left="0.7" right="0.7" top="0.75" bottom="0.75" header="0.3" footer="0.3"/>
  <pageSetup scale="85"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E5110C1C-B52A-4DB5-9856-44535F08DDE4}">
          <x14:formula1>
            <xm:f>'Machinery Input Tables'!$AH$6:$AH$32</xm:f>
          </x14:formula1>
          <xm:sqref>C63:C73</xm:sqref>
        </x14:dataValidation>
        <x14:dataValidation type="list" allowBlank="1" showInputMessage="1" showErrorMessage="1" xr:uid="{2E071E42-CF89-4CB5-997E-5A03B4664BBF}">
          <x14:formula1>
            <xm:f>'Machinery Input Tables'!$B$6:$B$121</xm:f>
          </x14:formula1>
          <xm:sqref>B63:B73</xm:sqref>
        </x14:dataValidation>
        <x14:dataValidation type="list" allowBlank="1" showInputMessage="1" showErrorMessage="1" xr:uid="{831B304B-9D6B-4CFA-B168-2446FDEFA95D}">
          <x14:formula1>
            <xm:f>'Machinery Input Tables'!$C$133:$C$184</xm:f>
          </x14:formula1>
          <xm:sqref>B54:B57</xm:sqref>
        </x14:dataValidation>
        <x14:dataValidation type="list" allowBlank="1" showInputMessage="1" showErrorMessage="1" xr:uid="{EDABF606-252D-4D10-AE9D-56ADE16FAAE4}">
          <x14:formula1>
            <xm:f>'Irrigation costs'!$D$2:$G$2</xm:f>
          </x14:formula1>
          <xm:sqref>D3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E995914E1A9804181E196FA66AF5914" ma:contentTypeVersion="22" ma:contentTypeDescription="Create a new document." ma:contentTypeScope="" ma:versionID="6c5614d1813bfa1ba2afed2792531a00">
  <xsd:schema xmlns:xsd="http://www.w3.org/2001/XMLSchema" xmlns:xs="http://www.w3.org/2001/XMLSchema" xmlns:p="http://schemas.microsoft.com/office/2006/metadata/properties" xmlns:ns2="9f608c11-4ccd-421c-a88d-29e29a7a365f" xmlns:ns3="7bd0c97a-79aa-4cc6-bd7d-1cd468b1e455" targetNamespace="http://schemas.microsoft.com/office/2006/metadata/properties" ma:root="true" ma:fieldsID="0636967c8746b83c40e3a23d37e0985a" ns2:_="" ns3:_="">
    <xsd:import namespace="9f608c11-4ccd-421c-a88d-29e29a7a365f"/>
    <xsd:import namespace="7bd0c97a-79aa-4cc6-bd7d-1cd468b1e45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last_x0020_update" minOccurs="0"/>
                <xsd:element ref="ns2:MediaServiceLocation" minOccurs="0"/>
                <xsd:element ref="ns2:Date"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608c11-4ccd-421c-a88d-29e29a7a36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ast_x0020_update" ma:index="19" nillable="true" ma:displayName="last update" ma:format="DateOnly" ma:internalName="last_x0020_update">
      <xsd:simpleType>
        <xsd:restriction base="dms:DateTime"/>
      </xsd:simpleType>
    </xsd:element>
    <xsd:element name="MediaServiceLocation" ma:index="20" nillable="true" ma:displayName="Location" ma:internalName="MediaServiceLocation" ma:readOnly="true">
      <xsd:simpleType>
        <xsd:restriction base="dms:Text"/>
      </xsd:simpleType>
    </xsd:element>
    <xsd:element name="Date" ma:index="21" nillable="true" ma:displayName="Date" ma:format="DateOnly" ma:internalName="Date">
      <xsd:simpleType>
        <xsd:restriction base="dms:DateTime"/>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3e20e570-3a27-4eff-9ea0-d3488a33fbf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d0c97a-79aa-4cc6-bd7d-1cd468b1e45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b1755391-8c5a-49fe-93a6-be9ca737bd28}" ma:internalName="TaxCatchAll" ma:showField="CatchAllData" ma:web="7bd0c97a-79aa-4cc6-bd7d-1cd468b1e45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ma:index="28"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bd0c97a-79aa-4cc6-bd7d-1cd468b1e455" xsi:nil="true"/>
    <lcf76f155ced4ddcb4097134ff3c332f xmlns="9f608c11-4ccd-421c-a88d-29e29a7a365f">
      <Terms xmlns="http://schemas.microsoft.com/office/infopath/2007/PartnerControls"/>
    </lcf76f155ced4ddcb4097134ff3c332f>
    <Date xmlns="9f608c11-4ccd-421c-a88d-29e29a7a365f" xsi:nil="true"/>
    <last_x0020_update xmlns="9f608c11-4ccd-421c-a88d-29e29a7a365f" xsi:nil="true"/>
  </documentManagement>
</p:properties>
</file>

<file path=customXml/item3.xml><?xml version="1.0" encoding="utf-8"?>
<Prx>
  <Cntr/>
</Prx>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607BDE2-1A48-44D2-BF09-FCE4E6E6C264}"/>
</file>

<file path=customXml/itemProps2.xml><?xml version="1.0" encoding="utf-8"?>
<ds:datastoreItem xmlns:ds="http://schemas.openxmlformats.org/officeDocument/2006/customXml" ds:itemID="{2542F0BC-94D8-4787-B282-3DCC9A0E61EF}">
  <ds:schemaRefs>
    <ds:schemaRef ds:uri="http://purl.org/dc/dcmitype/"/>
    <ds:schemaRef ds:uri="http://purl.org/dc/elements/1.1/"/>
    <ds:schemaRef ds:uri="efba6830-88fc-4660-8252-66421c0ed606"/>
    <ds:schemaRef ds:uri="http://purl.org/dc/terms/"/>
    <ds:schemaRef ds:uri="http://schemas.openxmlformats.org/package/2006/metadata/core-properties"/>
    <ds:schemaRef ds:uri="http://www.w3.org/XML/1998/namespace"/>
    <ds:schemaRef ds:uri="http://schemas.microsoft.com/office/infopath/2007/PartnerControls"/>
    <ds:schemaRef ds:uri="http://schemas.microsoft.com/office/2006/documentManagement/types"/>
    <ds:schemaRef ds:uri="68029b82-de8b-4bb8-a3ab-fd0183ed5d77"/>
    <ds:schemaRef ds:uri="http://schemas.microsoft.com/office/2006/metadata/properties"/>
  </ds:schemaRefs>
</ds:datastoreItem>
</file>

<file path=customXml/itemProps3.xml><?xml version="1.0" encoding="utf-8"?>
<ds:datastoreItem xmlns:ds="http://schemas.openxmlformats.org/officeDocument/2006/customXml" ds:itemID="{BB3EE08E-1DBA-4ADE-965D-106B0E0E3C2F}">
  <ds:schemaRefs/>
</ds:datastoreItem>
</file>

<file path=customXml/itemProps4.xml><?xml version="1.0" encoding="utf-8"?>
<ds:datastoreItem xmlns:ds="http://schemas.openxmlformats.org/officeDocument/2006/customXml" ds:itemID="{EE29C18A-F1AB-4E66-837E-100F14FB78C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10</vt:i4>
      </vt:variant>
    </vt:vector>
  </HeadingPairs>
  <TitlesOfParts>
    <vt:vector size="25" baseType="lpstr">
      <vt:lpstr>Introduction</vt:lpstr>
      <vt:lpstr>Input prices</vt:lpstr>
      <vt:lpstr>Machinery Input Tables</vt:lpstr>
      <vt:lpstr>Irrigation costs</vt:lpstr>
      <vt:lpstr>Corn</vt:lpstr>
      <vt:lpstr>Soybean</vt:lpstr>
      <vt:lpstr>DC soybean</vt:lpstr>
      <vt:lpstr>Cotton</vt:lpstr>
      <vt:lpstr>Peanut</vt:lpstr>
      <vt:lpstr>Hybrid rice</vt:lpstr>
      <vt:lpstr>Conventional rice</vt:lpstr>
      <vt:lpstr>Winter wheat</vt:lpstr>
      <vt:lpstr>DC milo</vt:lpstr>
      <vt:lpstr>Winter Canola</vt:lpstr>
      <vt:lpstr>Summary</vt:lpstr>
      <vt:lpstr>'Conventional rice'!Print_Area</vt:lpstr>
      <vt:lpstr>Corn!Print_Area</vt:lpstr>
      <vt:lpstr>Cotton!Print_Area</vt:lpstr>
      <vt:lpstr>'DC milo'!Print_Area</vt:lpstr>
      <vt:lpstr>'DC soybean'!Print_Area</vt:lpstr>
      <vt:lpstr>'Hybrid rice'!Print_Area</vt:lpstr>
      <vt:lpstr>Peanut!Print_Area</vt:lpstr>
      <vt:lpstr>Soybean!Print_Area</vt:lpstr>
      <vt:lpstr>'Winter Canola'!Print_Area</vt:lpstr>
      <vt:lpstr>'Winter wheat'!Print_Area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Drew Kientzy;Ben Brown</dc:creator>
  <cp:keywords/>
  <dc:description/>
  <cp:lastModifiedBy>Stokes, Victoria</cp:lastModifiedBy>
  <cp:revision/>
  <cp:lastPrinted>2025-09-09T13:21:51Z</cp:lastPrinted>
  <dcterms:created xsi:type="dcterms:W3CDTF">2014-11-07T21:30:57Z</dcterms:created>
  <dcterms:modified xsi:type="dcterms:W3CDTF">2025-12-18T02:35:18Z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0x010100BE995914E1A9804181E196FA66AF5914</vt:lpwstr>
  </property>
  <property fmtid="{D5CDD505-2E9C-101B-9397-08002B2CF9AE}" pid="3" name="MediaServiceImageTags">
    <vt:lpwstr/>
  </property>
</Properties>
</file>