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mailmissouri-my.sharepoint.com/personal/knappv_umsystem_edu/Documents/Documents/ABP pubs/Rahe/Blueberry budget/g714_new_062026/"/>
    </mc:Choice>
  </mc:AlternateContent>
  <xr:revisionPtr revIDLastSave="0" documentId="8_{FDD254E7-6A67-4C7D-884C-94CA3089B121}" xr6:coauthVersionLast="47" xr6:coauthVersionMax="47" xr10:uidLastSave="{00000000-0000-0000-0000-000000000000}"/>
  <bookViews>
    <workbookView xWindow="2715" yWindow="810" windowWidth="23910" windowHeight="13935" xr2:uid="{50691399-9F51-4DAE-88E6-4D51F075FBD5}"/>
  </bookViews>
  <sheets>
    <sheet name="Introduction" sheetId="3" r:id="rId1"/>
    <sheet name="Budget" sheetId="1" r:id="rId2"/>
    <sheet name="Infrastructure" sheetId="7" r:id="rId3"/>
    <sheet name="Chemicals" sheetId="6" state="hidden" r:id="rId4"/>
    <sheet name="Machinery" sheetId="9" state="hidden" r:id="rId5"/>
    <sheet name="Harvest Labor" sheetId="10" r:id="rId6"/>
    <sheet name="Financial Sensitivity" sheetId="4" r:id="rId7"/>
    <sheet name="Yield Chart" sheetId="11" r:id="rId8"/>
    <sheet name="Finance Chart" sheetId="12" r:id="rId9"/>
  </sheets>
  <externalReferences>
    <externalReference r:id="rId10"/>
    <externalReference r:id="rId11"/>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acres">#REF!</definedName>
    <definedName name="Boom_Sprayer">#REF!</definedName>
    <definedName name="Boom_Sprayer_SP">#REF!</definedName>
    <definedName name="BudgetActivities" localSheetId="4">#REF!</definedName>
    <definedName name="BudgetActivities">#REF!</definedName>
    <definedName name="byyield">#REF!</definedName>
    <definedName name="Chisel_Plow">#REF!</definedName>
    <definedName name="Chisel_Plow_FD">#REF!</definedName>
    <definedName name="Comb_Disk_VRipper">#REF!</definedName>
    <definedName name="Comb_Fld_Cult_Incorp">#REF!</definedName>
    <definedName name="Combine_Size">#REF!</definedName>
    <definedName name="Cornhead_Size">#REF!</definedName>
    <definedName name="crop">#REF!</definedName>
    <definedName name="cropnum">#REF!</definedName>
    <definedName name="Crops">#REF!</definedName>
    <definedName name="Cultivator">#REF!</definedName>
    <definedName name="Cultivator_HR">#REF!</definedName>
    <definedName name="CustomActivities" localSheetId="4">#REF!</definedName>
    <definedName name="CustomActivities">#REF!</definedName>
    <definedName name="customhire2">#REF!,#REF!</definedName>
    <definedName name="CustomImps" localSheetId="4">#REF!</definedName>
    <definedName name="CustomImps">[1]!Table4[Activity]</definedName>
    <definedName name="Disc_Mower">#REF!</definedName>
    <definedName name="Disk">#REF!</definedName>
    <definedName name="Disk_Mower">#REF!</definedName>
    <definedName name="drying">#REF!,#REF!</definedName>
    <definedName name="Field_Cultivator">#REF!</definedName>
    <definedName name="Grain_Auger">#REF!</definedName>
    <definedName name="Graincart">#REF!</definedName>
    <definedName name="Grainhead_Size">#REF!</definedName>
    <definedName name="Harrow">#REF!</definedName>
    <definedName name="hauling">#REF!,#REF!</definedName>
    <definedName name="herbicide2">#REF!,#REF!</definedName>
    <definedName name="Implementlist">#REF!</definedName>
    <definedName name="Implements">#REF!</definedName>
    <definedName name="Implements7">#REF!</definedName>
    <definedName name="ImplSel">#REF!</definedName>
    <definedName name="import">#REF!</definedName>
    <definedName name="income">#REF!</definedName>
    <definedName name="insecticide2">#REF!,#REF!</definedName>
    <definedName name="Irrigation">#REF!</definedName>
    <definedName name="irrigation2">#REF!</definedName>
    <definedName name="lease_arrangement">#REF!</definedName>
    <definedName name="leasenum">#REF!</definedName>
    <definedName name="mdbvalues">#REF!,#REF!,#REF!,#REF!</definedName>
    <definedName name="Moldboard_Plow">#REF!</definedName>
    <definedName name="NoTill_Drill">#REF!</definedName>
    <definedName name="NoTill_Planter">#REF!</definedName>
    <definedName name="Passes">#REF!,#REF!,#REF!,#REF!</definedName>
    <definedName name="Planter">#REF!</definedName>
    <definedName name="postharvest">#REF!,#REF!,#REF!</definedName>
    <definedName name="Power">#REF!</definedName>
    <definedName name="Power_Size">#REF!</definedName>
    <definedName name="Powerlist">#REF!</definedName>
    <definedName name="PowerSel">#REF!</definedName>
    <definedName name="Presswheel_Drill">#REF!</definedName>
    <definedName name="Primary_Units">#REF!</definedName>
    <definedName name="primyield">#REF!</definedName>
    <definedName name="_xlnm.Print_Area" localSheetId="1">Budget!$B$2:$U$58</definedName>
    <definedName name="_xlnm.Print_Area" localSheetId="4">Machinery!$B$1:$I$43,Machinery!$B$45:$I$49,Machinery!$L$1:$S$18</definedName>
    <definedName name="PUAlloc">#REF!</definedName>
    <definedName name="PUMiles">#REF!</definedName>
    <definedName name="rental">#REF!,#REF!,#REF!,#REF!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oller_Bar_Rake">#REF!</definedName>
    <definedName name="Round_Baler_Tie">#REF!</definedName>
    <definedName name="seed2">#REF!,#REF!,#REF!</definedName>
    <definedName name="SemiAlloc">#REF!</definedName>
    <definedName name="SemiMiles">#REF!</definedName>
    <definedName name="Silage_Wrapper">#REF!</definedName>
    <definedName name="Soybeanhead_Size">#REF!</definedName>
    <definedName name="SplitRow_Planter">#REF!</definedName>
    <definedName name="ss">#REF!</definedName>
    <definedName name="storage">#REF!,#REF!</definedName>
    <definedName name="Swather_Mower_Conditioner">#REF!</definedName>
    <definedName name="Tandem_Disk">#REF!</definedName>
    <definedName name="TenWheelAlloc">#REF!</definedName>
    <definedName name="TenWheelMiles">#REF!</definedName>
    <definedName name="VRipper">#REF!</definedName>
    <definedName name="Wheel_Rake">#REF!</definedName>
    <definedName name="wrn.all." hidden="1">{"detail",#N/A,FALSE,"Trac_Table";"tractable",#N/A,FALSE,"Trac_Table";"sensitivity",#N/A,FALSE,"Trac_Table"}</definedName>
    <definedName name="ww" localSheetId="4">#REF!</definedName>
    <definedName name="ww">[1]!Table4[Activity]</definedName>
    <definedName name="yiel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4" i="1" l="1"/>
  <c r="C11" i="10"/>
  <c r="D11" i="10"/>
  <c r="B11" i="10"/>
  <c r="B18" i="10" s="1"/>
  <c r="B16" i="10"/>
  <c r="C15" i="10"/>
  <c r="C20" i="10" s="1"/>
  <c r="D15" i="10"/>
  <c r="D20" i="10" s="1"/>
  <c r="B15" i="10"/>
  <c r="C26" i="10"/>
  <c r="D26" i="10"/>
  <c r="B26" i="10"/>
  <c r="B20" i="10"/>
  <c r="D5" i="10"/>
  <c r="D16" i="10" s="1"/>
  <c r="C5" i="10"/>
  <c r="C7" i="10" s="1"/>
  <c r="B5" i="10"/>
  <c r="B7" i="10" s="1"/>
  <c r="N22" i="4"/>
  <c r="P33" i="1"/>
  <c r="B19" i="10" l="1"/>
  <c r="B27" i="10" s="1"/>
  <c r="C18" i="10"/>
  <c r="D18" i="10"/>
  <c r="D19" i="10" s="1"/>
  <c r="D27" i="10" s="1"/>
  <c r="B29" i="10"/>
  <c r="B30" i="10" s="1"/>
  <c r="P34" i="1" s="1"/>
  <c r="B28" i="10"/>
  <c r="D29" i="10"/>
  <c r="C29" i="10"/>
  <c r="D28" i="10"/>
  <c r="C28" i="10"/>
  <c r="C16" i="10"/>
  <c r="D17" i="10"/>
  <c r="D7" i="10"/>
  <c r="B17" i="10" l="1"/>
  <c r="C19" i="10"/>
  <c r="C27" i="10" s="1"/>
  <c r="C17" i="10"/>
  <c r="Q6" i="1" l="1"/>
  <c r="P35" i="1"/>
  <c r="M35" i="1"/>
  <c r="N25" i="4"/>
  <c r="N24" i="4"/>
  <c r="N23" i="4"/>
  <c r="Q51" i="1" l="1"/>
  <c r="T43" i="1"/>
  <c r="Q43" i="1"/>
  <c r="K43" i="1"/>
  <c r="H43" i="1"/>
  <c r="J38" i="9"/>
  <c r="J39" i="9"/>
  <c r="J43" i="9" s="1"/>
  <c r="J40" i="9"/>
  <c r="J41" i="9"/>
  <c r="J42" i="9"/>
  <c r="J37" i="9"/>
  <c r="J27" i="9"/>
  <c r="J28" i="9"/>
  <c r="J29" i="9"/>
  <c r="J30" i="9"/>
  <c r="J31" i="9"/>
  <c r="J26" i="9"/>
  <c r="J32" i="9" s="1"/>
  <c r="J15" i="9"/>
  <c r="J16" i="9"/>
  <c r="J21" i="9" s="1"/>
  <c r="J17" i="9"/>
  <c r="J18" i="9"/>
  <c r="J19" i="9"/>
  <c r="J20" i="9"/>
  <c r="J10" i="9"/>
  <c r="J5" i="9"/>
  <c r="J6" i="9"/>
  <c r="J7" i="9"/>
  <c r="J8" i="9"/>
  <c r="J9" i="9"/>
  <c r="J4" i="9"/>
  <c r="E26" i="9"/>
  <c r="G31" i="1"/>
  <c r="N53" i="1"/>
  <c r="N52" i="1"/>
  <c r="T51" i="1"/>
  <c r="S41" i="1"/>
  <c r="T41" i="1" s="1"/>
  <c r="P41" i="1"/>
  <c r="Q41" i="1" s="1"/>
  <c r="J41" i="1"/>
  <c r="K41" i="1" s="1"/>
  <c r="T42" i="1"/>
  <c r="Q42" i="1"/>
  <c r="N40" i="1"/>
  <c r="N42" i="1"/>
  <c r="K40" i="1"/>
  <c r="K42" i="1"/>
  <c r="H42" i="1"/>
  <c r="H44" i="1"/>
  <c r="G41" i="1"/>
  <c r="H41" i="1" s="1"/>
  <c r="E7" i="9"/>
  <c r="H8" i="9"/>
  <c r="H9" i="9"/>
  <c r="H7" i="9"/>
  <c r="H19" i="9"/>
  <c r="H20" i="9"/>
  <c r="H18" i="9"/>
  <c r="H30" i="9"/>
  <c r="H31" i="9"/>
  <c r="H29" i="9"/>
  <c r="H41" i="9"/>
  <c r="H42" i="9"/>
  <c r="H40" i="9"/>
  <c r="E41" i="9"/>
  <c r="E42" i="9"/>
  <c r="E40" i="9"/>
  <c r="E31" i="9"/>
  <c r="E8" i="9"/>
  <c r="E9" i="9"/>
  <c r="E19" i="9"/>
  <c r="E20" i="9"/>
  <c r="E18" i="9"/>
  <c r="E30" i="9"/>
  <c r="E29" i="9"/>
  <c r="F31" i="9"/>
  <c r="F30" i="9"/>
  <c r="F29" i="9"/>
  <c r="F19" i="9"/>
  <c r="F20" i="9"/>
  <c r="F18" i="9"/>
  <c r="F9" i="9"/>
  <c r="F8" i="9"/>
  <c r="F7" i="9"/>
  <c r="F6" i="9"/>
  <c r="F5" i="9"/>
  <c r="E4" i="9"/>
  <c r="H6" i="1"/>
  <c r="H5" i="1"/>
  <c r="K6" i="1"/>
  <c r="K5" i="1"/>
  <c r="N6" i="1"/>
  <c r="N5" i="1"/>
  <c r="T10" i="1"/>
  <c r="T11" i="1"/>
  <c r="T12" i="1"/>
  <c r="T13" i="1"/>
  <c r="T15" i="1"/>
  <c r="T16" i="1"/>
  <c r="T17" i="1"/>
  <c r="T18" i="1"/>
  <c r="T19" i="1"/>
  <c r="T14" i="1"/>
  <c r="T21" i="1"/>
  <c r="T22" i="1"/>
  <c r="T23" i="1"/>
  <c r="T25" i="1"/>
  <c r="T29" i="1"/>
  <c r="T36" i="1"/>
  <c r="T37" i="1"/>
  <c r="T38" i="1"/>
  <c r="T39" i="1"/>
  <c r="T6" i="1"/>
  <c r="Q10" i="1"/>
  <c r="Q11" i="1"/>
  <c r="Q12" i="1"/>
  <c r="Q13" i="1"/>
  <c r="Q15" i="1"/>
  <c r="Q16" i="1"/>
  <c r="Q17" i="1"/>
  <c r="Q18" i="1"/>
  <c r="Q19" i="1"/>
  <c r="Q14" i="1"/>
  <c r="Q21" i="1"/>
  <c r="Q22" i="1"/>
  <c r="Q23" i="1"/>
  <c r="Q25" i="1"/>
  <c r="Q29" i="1"/>
  <c r="Q36" i="1"/>
  <c r="Q37" i="1"/>
  <c r="Q38" i="1"/>
  <c r="Q39" i="1"/>
  <c r="N25" i="1"/>
  <c r="N10" i="1"/>
  <c r="N11" i="1"/>
  <c r="N12" i="1"/>
  <c r="N13" i="1"/>
  <c r="N15" i="1"/>
  <c r="N16" i="1"/>
  <c r="N17" i="1"/>
  <c r="N18" i="1"/>
  <c r="N19" i="1"/>
  <c r="N14" i="1"/>
  <c r="N21" i="1"/>
  <c r="N22" i="1"/>
  <c r="N23" i="1"/>
  <c r="N29" i="1"/>
  <c r="N36" i="1"/>
  <c r="N37" i="1"/>
  <c r="N38" i="1"/>
  <c r="N39" i="1"/>
  <c r="K10" i="1"/>
  <c r="K11" i="1"/>
  <c r="K12" i="1"/>
  <c r="K13" i="1"/>
  <c r="K15" i="1"/>
  <c r="K16" i="1"/>
  <c r="K17" i="1"/>
  <c r="K18" i="1"/>
  <c r="K19" i="1"/>
  <c r="K21" i="1"/>
  <c r="K22" i="1"/>
  <c r="K23" i="1"/>
  <c r="K25" i="1"/>
  <c r="K29" i="1"/>
  <c r="K36" i="1"/>
  <c r="K37" i="1"/>
  <c r="K38" i="1"/>
  <c r="K39" i="1"/>
  <c r="K45" i="1"/>
  <c r="H9" i="1"/>
  <c r="H10" i="1"/>
  <c r="H11" i="1"/>
  <c r="H12" i="1"/>
  <c r="H13" i="1"/>
  <c r="H15" i="1"/>
  <c r="H16" i="1"/>
  <c r="H17" i="1"/>
  <c r="H18" i="1"/>
  <c r="H19" i="1"/>
  <c r="H14" i="1"/>
  <c r="H21" i="1"/>
  <c r="H22" i="1"/>
  <c r="H23" i="1"/>
  <c r="H25" i="1"/>
  <c r="H29" i="1"/>
  <c r="H36" i="1"/>
  <c r="H37" i="1"/>
  <c r="H38" i="1"/>
  <c r="H39" i="1"/>
  <c r="H40" i="1"/>
  <c r="H45" i="1"/>
  <c r="B42" i="9"/>
  <c r="B40" i="9"/>
  <c r="F40" i="9"/>
  <c r="B31" i="9"/>
  <c r="B29" i="9"/>
  <c r="B20" i="9"/>
  <c r="B18" i="9"/>
  <c r="B9" i="9"/>
  <c r="B7" i="9"/>
  <c r="M16" i="9"/>
  <c r="G29" i="9" s="1"/>
  <c r="I29" i="9" s="1"/>
  <c r="M17" i="9"/>
  <c r="M27" i="1"/>
  <c r="M28" i="1"/>
  <c r="M26" i="1"/>
  <c r="S32" i="1"/>
  <c r="P32" i="1"/>
  <c r="R5" i="4"/>
  <c r="O16" i="4" s="1"/>
  <c r="P31" i="1"/>
  <c r="N18" i="4"/>
  <c r="N19" i="4"/>
  <c r="N20" i="4"/>
  <c r="N21" i="4"/>
  <c r="N17" i="4"/>
  <c r="N15" i="4"/>
  <c r="N14" i="4"/>
  <c r="N13" i="4"/>
  <c r="N12" i="4"/>
  <c r="P5" i="4"/>
  <c r="R3" i="4" s="1"/>
  <c r="G19" i="9" l="1"/>
  <c r="I19" i="9" s="1"/>
  <c r="G7" i="9"/>
  <c r="I7" i="9" s="1"/>
  <c r="G30" i="9"/>
  <c r="I30" i="9" s="1"/>
  <c r="G40" i="9"/>
  <c r="I40" i="9" s="1"/>
  <c r="G15" i="9"/>
  <c r="G31" i="9"/>
  <c r="G37" i="9"/>
  <c r="I37" i="9" s="1"/>
  <c r="G4" i="9"/>
  <c r="G41" i="9"/>
  <c r="I41" i="9" s="1"/>
  <c r="G38" i="9"/>
  <c r="G26" i="9"/>
  <c r="G28" i="9"/>
  <c r="N43" i="1"/>
  <c r="K7" i="1"/>
  <c r="N7" i="1"/>
  <c r="O12" i="4" s="1"/>
  <c r="H7" i="1"/>
  <c r="G39" i="9"/>
  <c r="G9" i="9"/>
  <c r="I9" i="9" s="1"/>
  <c r="G18" i="9"/>
  <c r="I18" i="9" s="1"/>
  <c r="J44" i="9"/>
  <c r="G16" i="9"/>
  <c r="G27" i="9"/>
  <c r="G17" i="9"/>
  <c r="G42" i="9"/>
  <c r="G20" i="9"/>
  <c r="I20" i="9" s="1"/>
  <c r="G5" i="9"/>
  <c r="G6" i="9"/>
  <c r="J11" i="9"/>
  <c r="J22" i="9"/>
  <c r="G8" i="9"/>
  <c r="I8" i="9" s="1"/>
  <c r="O22" i="4"/>
  <c r="O13" i="4"/>
  <c r="O21" i="4"/>
  <c r="O23" i="4"/>
  <c r="O15" i="4"/>
  <c r="J9" i="1"/>
  <c r="O19" i="4"/>
  <c r="O18" i="4"/>
  <c r="O20" i="4"/>
  <c r="O17" i="4"/>
  <c r="O25" i="4"/>
  <c r="O14" i="4"/>
  <c r="O24" i="4"/>
  <c r="S28" i="1"/>
  <c r="S27" i="1"/>
  <c r="G32" i="9" l="1"/>
  <c r="K9" i="1"/>
  <c r="J14" i="1"/>
  <c r="K14" i="1" s="1"/>
  <c r="S33" i="1"/>
  <c r="M33" i="1"/>
  <c r="D5" i="7"/>
  <c r="M9" i="1"/>
  <c r="N9" i="1" s="1"/>
  <c r="S5" i="1"/>
  <c r="S40" i="1" s="1"/>
  <c r="T40" i="1" s="1"/>
  <c r="P5" i="1"/>
  <c r="S35" i="1"/>
  <c r="S31" i="1" s="1"/>
  <c r="H26" i="9"/>
  <c r="H15" i="9"/>
  <c r="P40" i="1" l="1"/>
  <c r="Q40" i="1" s="1"/>
  <c r="Q5" i="1"/>
  <c r="Q7" i="1" s="1"/>
  <c r="E20" i="1"/>
  <c r="N20" i="1" l="1"/>
  <c r="K20" i="1"/>
  <c r="Q20" i="1"/>
  <c r="T20" i="1"/>
  <c r="H20" i="1"/>
  <c r="V34" i="9"/>
  <c r="E15" i="7" l="1"/>
  <c r="K15" i="7" s="1"/>
  <c r="E16" i="7"/>
  <c r="K16" i="7" s="1"/>
  <c r="E14" i="7"/>
  <c r="I14" i="7" s="1"/>
  <c r="E24" i="1"/>
  <c r="P27" i="1"/>
  <c r="P28" i="1"/>
  <c r="P26" i="1"/>
  <c r="E27" i="1"/>
  <c r="E28" i="1"/>
  <c r="C19" i="6"/>
  <c r="B19" i="6"/>
  <c r="B18" i="6"/>
  <c r="C18" i="6"/>
  <c r="B17" i="6"/>
  <c r="C17" i="6"/>
  <c r="I4" i="6"/>
  <c r="I5" i="6"/>
  <c r="I6" i="6"/>
  <c r="I7" i="6"/>
  <c r="I8" i="6"/>
  <c r="I9" i="6"/>
  <c r="I10" i="6"/>
  <c r="I11" i="6"/>
  <c r="I12" i="6"/>
  <c r="I13" i="6"/>
  <c r="I3" i="6"/>
  <c r="Q27" i="1" l="1"/>
  <c r="Q24" i="1"/>
  <c r="T24" i="1"/>
  <c r="H24" i="1"/>
  <c r="K24" i="1"/>
  <c r="N24" i="1"/>
  <c r="K27" i="1"/>
  <c r="H27" i="1"/>
  <c r="N27" i="1"/>
  <c r="T27" i="1"/>
  <c r="H28" i="1"/>
  <c r="K28" i="1"/>
  <c r="N28" i="1"/>
  <c r="T28" i="1"/>
  <c r="Q28" i="1"/>
  <c r="H14" i="7"/>
  <c r="K14" i="7"/>
  <c r="I15" i="7"/>
  <c r="H15" i="7"/>
  <c r="I16" i="7"/>
  <c r="H16" i="7"/>
  <c r="S26" i="1"/>
  <c r="E26" i="1"/>
  <c r="S9" i="1"/>
  <c r="T9" i="1" s="1"/>
  <c r="P9" i="1"/>
  <c r="Q9" i="1" s="1"/>
  <c r="D17" i="6"/>
  <c r="D18" i="6"/>
  <c r="D19" i="6"/>
  <c r="H39" i="9"/>
  <c r="F39" i="9"/>
  <c r="E39" i="9"/>
  <c r="B39" i="9"/>
  <c r="H38" i="9"/>
  <c r="F38" i="9"/>
  <c r="E38" i="9"/>
  <c r="B38" i="9"/>
  <c r="H37" i="9"/>
  <c r="F37" i="9"/>
  <c r="E37" i="9"/>
  <c r="B37" i="9"/>
  <c r="H28" i="9"/>
  <c r="F28" i="9"/>
  <c r="E28" i="9"/>
  <c r="B28" i="9"/>
  <c r="H27" i="9"/>
  <c r="F27" i="9"/>
  <c r="E27" i="9"/>
  <c r="B27" i="9"/>
  <c r="F26" i="9"/>
  <c r="B26" i="9"/>
  <c r="H17" i="9"/>
  <c r="F17" i="9"/>
  <c r="E17" i="9"/>
  <c r="B17" i="9"/>
  <c r="H16" i="9"/>
  <c r="F16" i="9"/>
  <c r="E16" i="9"/>
  <c r="B16" i="9"/>
  <c r="F15" i="9"/>
  <c r="E15" i="9"/>
  <c r="B15" i="9"/>
  <c r="H6" i="9"/>
  <c r="E6" i="9"/>
  <c r="B6" i="9"/>
  <c r="H5" i="9"/>
  <c r="E5" i="9"/>
  <c r="B5" i="9"/>
  <c r="H4" i="9"/>
  <c r="F4" i="9"/>
  <c r="B4" i="9"/>
  <c r="E5" i="7"/>
  <c r="J35" i="1"/>
  <c r="J31" i="1" s="1"/>
  <c r="E13" i="7"/>
  <c r="E12" i="7"/>
  <c r="E6" i="7"/>
  <c r="H6" i="7" s="1"/>
  <c r="D9" i="4"/>
  <c r="D8" i="4" s="1"/>
  <c r="T53" i="1"/>
  <c r="Q53" i="1"/>
  <c r="K53" i="1"/>
  <c r="H53" i="1"/>
  <c r="T52" i="1"/>
  <c r="Q52" i="1"/>
  <c r="K52" i="1"/>
  <c r="H52" i="1"/>
  <c r="H26" i="1" l="1"/>
  <c r="K26" i="1"/>
  <c r="N26" i="1"/>
  <c r="Q26" i="1"/>
  <c r="T26" i="1"/>
  <c r="Q45" i="1"/>
  <c r="O10" i="4"/>
  <c r="E33" i="1"/>
  <c r="E31" i="1"/>
  <c r="E32" i="1"/>
  <c r="E35" i="1"/>
  <c r="K35" i="1" s="1"/>
  <c r="E30" i="1"/>
  <c r="E34" i="1"/>
  <c r="O11" i="4"/>
  <c r="H32" i="9"/>
  <c r="N51" i="1" s="1"/>
  <c r="T5" i="1"/>
  <c r="T7" i="1" s="1"/>
  <c r="H5" i="4"/>
  <c r="I5" i="4" s="1"/>
  <c r="H43" i="9"/>
  <c r="E43" i="9"/>
  <c r="F10" i="9"/>
  <c r="E32" i="9"/>
  <c r="E21" i="9"/>
  <c r="H10" i="9"/>
  <c r="H51" i="1" s="1"/>
  <c r="H21" i="9"/>
  <c r="K51" i="1" s="1"/>
  <c r="F43" i="9"/>
  <c r="E10" i="9"/>
  <c r="F21" i="9"/>
  <c r="F32" i="9"/>
  <c r="M41" i="1" s="1"/>
  <c r="N41" i="1" s="1"/>
  <c r="K6" i="7"/>
  <c r="I6" i="7"/>
  <c r="D6" i="4"/>
  <c r="I13" i="7"/>
  <c r="H13" i="7"/>
  <c r="I5" i="7"/>
  <c r="H5" i="7"/>
  <c r="H7" i="7" s="1"/>
  <c r="K5" i="7"/>
  <c r="E7" i="7"/>
  <c r="K13" i="7"/>
  <c r="I14" i="6"/>
  <c r="D12" i="4"/>
  <c r="D7" i="4"/>
  <c r="D11" i="4"/>
  <c r="D10" i="4"/>
  <c r="E17" i="7"/>
  <c r="K12" i="7"/>
  <c r="I12" i="7"/>
  <c r="H12" i="7"/>
  <c r="I39" i="9"/>
  <c r="I16" i="9"/>
  <c r="I31" i="9"/>
  <c r="I27" i="9"/>
  <c r="I6" i="9"/>
  <c r="I38" i="9"/>
  <c r="I28" i="9"/>
  <c r="I42" i="9"/>
  <c r="I17" i="9"/>
  <c r="I5" i="9"/>
  <c r="M31" i="1" l="1"/>
  <c r="J33" i="9"/>
  <c r="N49" i="1"/>
  <c r="N31" i="1"/>
  <c r="H31" i="1"/>
  <c r="Q34" i="1"/>
  <c r="T34" i="1"/>
  <c r="N34" i="1"/>
  <c r="K34" i="1"/>
  <c r="H34" i="1"/>
  <c r="H35" i="1"/>
  <c r="Q35" i="1"/>
  <c r="N35" i="1"/>
  <c r="T35" i="1"/>
  <c r="T30" i="1"/>
  <c r="K30" i="1"/>
  <c r="N30" i="1"/>
  <c r="H30" i="1"/>
  <c r="Q30" i="1"/>
  <c r="H33" i="1"/>
  <c r="K33" i="1"/>
  <c r="N33" i="1"/>
  <c r="Q33" i="1"/>
  <c r="T33" i="1"/>
  <c r="N32" i="1"/>
  <c r="K32" i="1"/>
  <c r="H32" i="1"/>
  <c r="Q32" i="1"/>
  <c r="T32" i="1"/>
  <c r="K31" i="1"/>
  <c r="T45" i="1"/>
  <c r="N45" i="1"/>
  <c r="T31" i="1"/>
  <c r="Q31" i="1"/>
  <c r="K49" i="1"/>
  <c r="H49" i="1"/>
  <c r="I17" i="7"/>
  <c r="K17" i="7"/>
  <c r="K7" i="7"/>
  <c r="H17" i="7"/>
  <c r="T49" i="1" s="1"/>
  <c r="I7" i="7"/>
  <c r="N50" i="1" s="1"/>
  <c r="E5" i="4"/>
  <c r="J5" i="4"/>
  <c r="G5" i="4"/>
  <c r="F5" i="4"/>
  <c r="K5" i="4"/>
  <c r="G43" i="9"/>
  <c r="I43" i="9"/>
  <c r="G10" i="9"/>
  <c r="I4" i="9"/>
  <c r="I10" i="9" s="1"/>
  <c r="G21" i="9"/>
  <c r="I15" i="9"/>
  <c r="I21" i="9" s="1"/>
  <c r="I26" i="9"/>
  <c r="I32" i="9" s="1"/>
  <c r="Q49" i="1" l="1"/>
  <c r="N54" i="1"/>
  <c r="Q44" i="1"/>
  <c r="T44" i="1"/>
  <c r="T46" i="1" s="1"/>
  <c r="T47" i="1" s="1"/>
  <c r="T56" i="1" s="1"/>
  <c r="N44" i="1"/>
  <c r="K44" i="1"/>
  <c r="K46" i="1" s="1"/>
  <c r="K47" i="1" s="1"/>
  <c r="K56" i="1" s="1"/>
  <c r="Q50" i="1"/>
  <c r="T50" i="1"/>
  <c r="T54" i="1" s="1"/>
  <c r="H46" i="1"/>
  <c r="N46" i="1"/>
  <c r="Q46" i="1"/>
  <c r="Q47" i="1" s="1"/>
  <c r="Q56" i="1" s="1"/>
  <c r="H50" i="1"/>
  <c r="H54" i="1" s="1"/>
  <c r="K50" i="1"/>
  <c r="K54" i="1" s="1"/>
  <c r="Q54" i="1" l="1"/>
  <c r="Q55" i="1" s="1"/>
  <c r="H47" i="1"/>
  <c r="H56" i="1" s="1"/>
  <c r="N47" i="1"/>
  <c r="N55" i="1" s="1"/>
  <c r="K55" i="1"/>
  <c r="K57" i="1" s="1"/>
  <c r="K20" i="4"/>
  <c r="E24" i="4"/>
  <c r="E19" i="4"/>
  <c r="E23" i="4"/>
  <c r="F18" i="4"/>
  <c r="E20" i="4"/>
  <c r="H21" i="4"/>
  <c r="K23" i="4"/>
  <c r="I22" i="4"/>
  <c r="K19" i="4"/>
  <c r="F19" i="4"/>
  <c r="K21" i="4"/>
  <c r="K22" i="4"/>
  <c r="H19" i="4"/>
  <c r="G19" i="4"/>
  <c r="F21" i="4"/>
  <c r="J21" i="4"/>
  <c r="I20" i="4"/>
  <c r="J20" i="4"/>
  <c r="K18" i="4"/>
  <c r="H23" i="4"/>
  <c r="I24" i="4"/>
  <c r="G24" i="4"/>
  <c r="K24" i="4"/>
  <c r="H24" i="4"/>
  <c r="J22" i="4"/>
  <c r="F23" i="4"/>
  <c r="J18" i="4"/>
  <c r="J19" i="4"/>
  <c r="I18" i="4"/>
  <c r="E21" i="4"/>
  <c r="J23" i="4"/>
  <c r="G23" i="4"/>
  <c r="G20" i="4"/>
  <c r="G21" i="4"/>
  <c r="G22" i="4"/>
  <c r="T55" i="1"/>
  <c r="P17" i="4" s="1"/>
  <c r="I23" i="4"/>
  <c r="E18" i="4"/>
  <c r="F20" i="4"/>
  <c r="H22" i="4"/>
  <c r="H20" i="4"/>
  <c r="G18" i="4"/>
  <c r="I19" i="4"/>
  <c r="H18" i="4"/>
  <c r="E22" i="4"/>
  <c r="F24" i="4"/>
  <c r="F22" i="4"/>
  <c r="I21" i="4"/>
  <c r="J24" i="4"/>
  <c r="H55" i="1" l="1"/>
  <c r="H57" i="1" s="1"/>
  <c r="N56" i="1"/>
  <c r="Q57" i="1"/>
  <c r="P16" i="4"/>
  <c r="Q16" i="4" s="1"/>
  <c r="Q17" i="4"/>
  <c r="P13" i="4"/>
  <c r="Q13" i="4" s="1"/>
  <c r="P14" i="4"/>
  <c r="Q14" i="4" s="1"/>
  <c r="P15" i="4"/>
  <c r="Q15" i="4" s="1"/>
  <c r="N57" i="1"/>
  <c r="P12" i="4"/>
  <c r="Q12" i="4" s="1"/>
  <c r="P10" i="4"/>
  <c r="P20" i="4"/>
  <c r="Q20" i="4" s="1"/>
  <c r="P25" i="4"/>
  <c r="Q25" i="4" s="1"/>
  <c r="P21" i="4"/>
  <c r="Q21" i="4" s="1"/>
  <c r="F8" i="4"/>
  <c r="H11" i="4"/>
  <c r="P11" i="4"/>
  <c r="Q11" i="4" s="1"/>
  <c r="J6" i="4"/>
  <c r="P23" i="4"/>
  <c r="Q23" i="4" s="1"/>
  <c r="P24" i="4"/>
  <c r="Q24" i="4" s="1"/>
  <c r="E9" i="4"/>
  <c r="J11" i="4"/>
  <c r="F11" i="4"/>
  <c r="G8" i="4"/>
  <c r="G9" i="4"/>
  <c r="K6" i="4"/>
  <c r="G11" i="4"/>
  <c r="J10" i="4"/>
  <c r="E12" i="4"/>
  <c r="I7" i="4"/>
  <c r="I8" i="4"/>
  <c r="I11" i="4"/>
  <c r="J9" i="4"/>
  <c r="F9" i="4"/>
  <c r="G6" i="4"/>
  <c r="F10" i="4"/>
  <c r="E6" i="4"/>
  <c r="H8" i="4"/>
  <c r="E8" i="4"/>
  <c r="G7" i="4"/>
  <c r="I12" i="4"/>
  <c r="H10" i="4"/>
  <c r="G10" i="4"/>
  <c r="K12" i="4"/>
  <c r="K10" i="4"/>
  <c r="K9" i="4"/>
  <c r="I10" i="4"/>
  <c r="J7" i="4"/>
  <c r="E11" i="4"/>
  <c r="T57" i="1"/>
  <c r="E7" i="4"/>
  <c r="J8" i="4"/>
  <c r="F6" i="4"/>
  <c r="P19" i="4"/>
  <c r="Q19" i="4" s="1"/>
  <c r="I6" i="4"/>
  <c r="H7" i="4"/>
  <c r="I9" i="4"/>
  <c r="K11" i="4"/>
  <c r="G12" i="4"/>
  <c r="E10" i="4"/>
  <c r="F12" i="4"/>
  <c r="H6" i="4"/>
  <c r="F7" i="4"/>
  <c r="H12" i="4"/>
  <c r="P22" i="4"/>
  <c r="Q22" i="4" s="1"/>
  <c r="K8" i="4"/>
  <c r="H9" i="4"/>
  <c r="J12" i="4"/>
  <c r="K7" i="4"/>
  <c r="P18" i="4"/>
  <c r="Q18" i="4" s="1"/>
  <c r="Q10" i="4" l="1"/>
  <c r="R10" i="4" s="1"/>
  <c r="Q58" i="1" a="1"/>
  <c r="Q58" i="1" s="1"/>
  <c r="T58" i="1"/>
  <c r="E39" i="4"/>
  <c r="R11" i="4"/>
  <c r="R12" i="4" s="1"/>
  <c r="R13" i="4" s="1"/>
  <c r="R14" i="4" s="1"/>
  <c r="R15" i="4" s="1"/>
  <c r="R16" i="4" s="1"/>
  <c r="R17" i="4" s="1"/>
  <c r="R18" i="4" s="1"/>
  <c r="R19" i="4" s="1"/>
  <c r="R20" i="4" s="1"/>
  <c r="R21" i="4" s="1"/>
  <c r="R22" i="4" s="1"/>
  <c r="R23" i="4" s="1"/>
  <c r="R24" i="4" s="1"/>
  <c r="R25" i="4" s="1"/>
  <c r="E38" i="4"/>
  <c r="E3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Staley, Clare (MU-Student)</author>
  </authors>
  <commentList>
    <comment ref="S2" authorId="0" shapeId="0" xr:uid="{B99B6755-FF3A-47D4-852E-A49C7FE5F5C0}">
      <text>
        <r>
          <rPr>
            <b/>
            <sz val="9"/>
            <color indexed="81"/>
            <rFont val="Tahoma"/>
            <family val="2"/>
          </rPr>
          <t>Staley, Clare (MU-Student):</t>
        </r>
        <r>
          <rPr>
            <sz val="9"/>
            <color indexed="81"/>
            <rFont val="Tahoma"/>
            <family val="2"/>
          </rPr>
          <t xml:space="preserve">
Estimate of use commensurate with justifying a new piece of machinery. Hours per year are often higher than a “typical” farm may use. That is ok as it artificially decreases ownership costs on operations with lower use equipment that are likely operating older machinery with little depreciation expense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<sst xmlns="http://schemas.openxmlformats.org/spreadsheetml/2006/main" count="518" uniqueCount="276">
  <si>
    <t>This worksheet is for educational purposes only and the user assumes all risks associated with its use.</t>
  </si>
  <si>
    <t>Revenue</t>
  </si>
  <si>
    <t>Unit</t>
  </si>
  <si>
    <t>Price
per unit</t>
  </si>
  <si>
    <t xml:space="preserve"> Quantity</t>
  </si>
  <si>
    <t>Dollars 
per acre</t>
  </si>
  <si>
    <t>Dollars
per acre</t>
  </si>
  <si>
    <t>each</t>
  </si>
  <si>
    <t>acre</t>
  </si>
  <si>
    <t>pound</t>
  </si>
  <si>
    <t>feet</t>
  </si>
  <si>
    <t>percent</t>
  </si>
  <si>
    <t>Total costs</t>
  </si>
  <si>
    <t>Return over total costs</t>
  </si>
  <si>
    <t>Net present value of net returns</t>
  </si>
  <si>
    <t>Income</t>
  </si>
  <si>
    <t>Total income</t>
  </si>
  <si>
    <t>Operating costs</t>
  </si>
  <si>
    <t>Total operating costs</t>
  </si>
  <si>
    <t>Ownership costs</t>
  </si>
  <si>
    <t>Total ownership costs</t>
  </si>
  <si>
    <t>Return over operating costs</t>
  </si>
  <si>
    <t>15% more</t>
  </si>
  <si>
    <t>10% more</t>
  </si>
  <si>
    <t>5% more</t>
  </si>
  <si>
    <t>Base</t>
  </si>
  <si>
    <t>5% less</t>
  </si>
  <si>
    <t>10% less</t>
  </si>
  <si>
    <t>15% less</t>
  </si>
  <si>
    <t>20% more</t>
  </si>
  <si>
    <t>30% more</t>
  </si>
  <si>
    <t>20% less</t>
  </si>
  <si>
    <t>30% less</t>
  </si>
  <si>
    <t>Required rate of return</t>
  </si>
  <si>
    <t xml:space="preserve">  NPV years 1-10</t>
  </si>
  <si>
    <t xml:space="preserve">  NPV years 1-15</t>
  </si>
  <si>
    <t>Develop a customized budget by adjusting the assumptions in gray cells to match the management practices and expected yields and prices for your farm.</t>
  </si>
  <si>
    <t>hour</t>
  </si>
  <si>
    <t>Year 1  
site preparation</t>
  </si>
  <si>
    <t>Year 2 
planting year</t>
  </si>
  <si>
    <t>gallon</t>
  </si>
  <si>
    <t>ounce</t>
  </si>
  <si>
    <t>Labor</t>
  </si>
  <si>
    <t>Phosphate</t>
  </si>
  <si>
    <t>Potash</t>
  </si>
  <si>
    <t xml:space="preserve">Marketing </t>
  </si>
  <si>
    <t>Fresh berry sales</t>
  </si>
  <si>
    <t>Plants</t>
  </si>
  <si>
    <t>Soil test</t>
  </si>
  <si>
    <t>Oats seed (cover crop)</t>
  </si>
  <si>
    <t>Annual ryegrass (cover crop)</t>
  </si>
  <si>
    <t>Irrigation</t>
  </si>
  <si>
    <t>Interest on operating capital</t>
  </si>
  <si>
    <t>trip</t>
  </si>
  <si>
    <t>Price per pound</t>
  </si>
  <si>
    <t>Peat moss</t>
  </si>
  <si>
    <t>Wood mulch</t>
  </si>
  <si>
    <t>cubic yard</t>
  </si>
  <si>
    <t>Nitrogen</t>
  </si>
  <si>
    <t>Sulfur</t>
  </si>
  <si>
    <t>Explore annual profitability expectations (per acre returns over total costs) under varying yield and price scenarios in full production and holding costs constant. Modify gray cells for further exploration.</t>
  </si>
  <si>
    <t>Blueberry Price and Yield Sensitivity Table</t>
  </si>
  <si>
    <t xml:space="preserve">  NPV years 1-5</t>
  </si>
  <si>
    <t xml:space="preserve">For horticulture expertise, contact: </t>
  </si>
  <si>
    <t>MU Commercial Horticulture Team</t>
  </si>
  <si>
    <t>Timing/stage</t>
  </si>
  <si>
    <t>Chemical name</t>
  </si>
  <si>
    <t>Use</t>
  </si>
  <si>
    <t>Rate guidance</t>
  </si>
  <si>
    <t>Quantity</t>
  </si>
  <si>
    <t>Price/unit</t>
  </si>
  <si>
    <t>Total</t>
  </si>
  <si>
    <t>Activity #</t>
  </si>
  <si>
    <t>Machine</t>
  </si>
  <si>
    <t>Dollars</t>
  </si>
  <si>
    <t>Fungicide</t>
  </si>
  <si>
    <t>Air blast</t>
  </si>
  <si>
    <t>Insecticide</t>
  </si>
  <si>
    <t>Herbicide</t>
  </si>
  <si>
    <t>Assail</t>
  </si>
  <si>
    <t>Imidan</t>
  </si>
  <si>
    <t>Before bud break</t>
  </si>
  <si>
    <t>Weed sprayer</t>
  </si>
  <si>
    <t>Post emergence 1</t>
  </si>
  <si>
    <t>Post emergence 2</t>
  </si>
  <si>
    <t>Roundup WeatherMAX</t>
  </si>
  <si>
    <t xml:space="preserve">10 to 11 ounces </t>
  </si>
  <si>
    <t>Chemicals</t>
  </si>
  <si>
    <t>Plastic bags</t>
  </si>
  <si>
    <t>Item</t>
  </si>
  <si>
    <t>Price per unit</t>
  </si>
  <si>
    <t>Lifespan</t>
  </si>
  <si>
    <t>Salvage value</t>
  </si>
  <si>
    <t>Depreciation</t>
  </si>
  <si>
    <t>Interest</t>
  </si>
  <si>
    <t>Repairs</t>
  </si>
  <si>
    <t>Units</t>
  </si>
  <si>
    <t>Years</t>
  </si>
  <si>
    <t>Percent</t>
  </si>
  <si>
    <t>Irrigation system, dripline, fertigation, well connection</t>
  </si>
  <si>
    <t>High tensile fence for wildlife control</t>
  </si>
  <si>
    <t>cubic foot</t>
  </si>
  <si>
    <t>Table 3. Machinery activities for site preparation year</t>
  </si>
  <si>
    <t>Table 11. Machinery economic calculations per unit</t>
  </si>
  <si>
    <t>Activity (not custom)</t>
  </si>
  <si>
    <t>Fuel</t>
  </si>
  <si>
    <r>
      <t>Operating costs</t>
    </r>
    <r>
      <rPr>
        <b/>
        <vertAlign val="superscript"/>
        <sz val="12"/>
        <color theme="1"/>
        <rFont val="Aptos"/>
        <family val="2"/>
      </rPr>
      <t>1</t>
    </r>
  </si>
  <si>
    <r>
      <t>Ownership costs</t>
    </r>
    <r>
      <rPr>
        <b/>
        <vertAlign val="superscript"/>
        <sz val="12"/>
        <color theme="1"/>
        <rFont val="Aptos"/>
        <family val="2"/>
      </rPr>
      <t>2</t>
    </r>
  </si>
  <si>
    <t>Total
 costs</t>
  </si>
  <si>
    <t>Fuel use</t>
  </si>
  <si>
    <t>Overhead</t>
  </si>
  <si>
    <t>Repair</t>
  </si>
  <si>
    <t>Hours</t>
  </si>
  <si>
    <t xml:space="preserve">Purchase </t>
  </si>
  <si>
    <t>Number</t>
  </si>
  <si>
    <t>Gallons</t>
  </si>
  <si>
    <t>$ per acre</t>
  </si>
  <si>
    <t>per hour</t>
  </si>
  <si>
    <t>per acre</t>
  </si>
  <si>
    <t xml:space="preserve">Price </t>
  </si>
  <si>
    <t>per year</t>
  </si>
  <si>
    <t>Airblast sprayer, 100 gallon; 45 HP MFWD</t>
  </si>
  <si>
    <t>Weed sprayer - pull-type; 45 HP MFWD</t>
  </si>
  <si>
    <t>Spreader - double spinner; 45 HP MFWD</t>
  </si>
  <si>
    <r>
      <t>Total</t>
    </r>
    <r>
      <rPr>
        <vertAlign val="superscript"/>
        <sz val="12"/>
        <color theme="1"/>
        <rFont val="Aptos"/>
        <family val="2"/>
      </rPr>
      <t>3</t>
    </r>
    <r>
      <rPr>
        <sz val="12"/>
        <color theme="1"/>
        <rFont val="Aptos"/>
        <family val="2"/>
      </rPr>
      <t xml:space="preserve"> </t>
    </r>
  </si>
  <si>
    <t>Table 4. Machinery activities for planting year</t>
  </si>
  <si>
    <t>Operator labor</t>
  </si>
  <si>
    <t>Fuel price</t>
  </si>
  <si>
    <t>Table 5. Machinery activities for no production year</t>
  </si>
  <si>
    <t>Table 6. Machinery activities for first production year</t>
  </si>
  <si>
    <r>
      <rPr>
        <vertAlign val="superscript"/>
        <sz val="11"/>
        <color theme="1"/>
        <rFont val="Aptos"/>
        <family val="2"/>
      </rPr>
      <t xml:space="preserve">1 </t>
    </r>
    <r>
      <rPr>
        <sz val="11"/>
        <color theme="1"/>
        <rFont val="Aptos"/>
        <family val="2"/>
      </rPr>
      <t>Machinery operating cost is the sum of fuel, repairs, maintenance, and the value of labor</t>
    </r>
  </si>
  <si>
    <r>
      <rPr>
        <vertAlign val="superscript"/>
        <sz val="11"/>
        <color theme="1"/>
        <rFont val="Aptos"/>
        <family val="2"/>
      </rPr>
      <t xml:space="preserve">2 </t>
    </r>
    <r>
      <rPr>
        <sz val="11"/>
        <color theme="1"/>
        <rFont val="Aptos"/>
        <family val="2"/>
      </rPr>
      <t>Machinery ownership cost is the sum of machinery overhead and depreciation.</t>
    </r>
  </si>
  <si>
    <r>
      <rPr>
        <vertAlign val="superscript"/>
        <sz val="11"/>
        <color theme="1"/>
        <rFont val="Aptos"/>
        <family val="2"/>
      </rPr>
      <t>3</t>
    </r>
    <r>
      <rPr>
        <sz val="11"/>
        <color theme="1"/>
        <rFont val="Aptos"/>
        <family val="2"/>
      </rPr>
      <t xml:space="preserve"> Totals may not sum due to rounding.</t>
    </r>
  </si>
  <si>
    <t>Pruning</t>
  </si>
  <si>
    <t>Fertilizer and soil amendments</t>
  </si>
  <si>
    <t>Mowing</t>
  </si>
  <si>
    <t>Bird deterrant system (audio + kites)</t>
  </si>
  <si>
    <t>Food grade u-pick buckets</t>
  </si>
  <si>
    <t>Supplies</t>
  </si>
  <si>
    <t>Bee rental</t>
  </si>
  <si>
    <t>hive</t>
  </si>
  <si>
    <t>Plant tissue test</t>
  </si>
  <si>
    <t>Cash rent equivalent</t>
  </si>
  <si>
    <t>Depreciation on infrastructure</t>
  </si>
  <si>
    <t>Interest on infrastructure</t>
  </si>
  <si>
    <t>Machinery ownership</t>
  </si>
  <si>
    <t>Other overhead, taxes, insurance</t>
  </si>
  <si>
    <t>Fertilizer/lime</t>
  </si>
  <si>
    <t>(1 pound/plant)</t>
  </si>
  <si>
    <t>preplant</t>
  </si>
  <si>
    <t>mulching</t>
  </si>
  <si>
    <t>Sulforix</t>
  </si>
  <si>
    <t>labeled rate</t>
  </si>
  <si>
    <t>1.0-2.0</t>
  </si>
  <si>
    <t>Cover spray as indicated</t>
  </si>
  <si>
    <t>Pristine</t>
  </si>
  <si>
    <t xml:space="preserve">ounce </t>
  </si>
  <si>
    <t>18.5-23</t>
  </si>
  <si>
    <t>Spotted wing drosophila/JB</t>
  </si>
  <si>
    <t>4.5-5.3</t>
  </si>
  <si>
    <t>Mustang Maxx</t>
  </si>
  <si>
    <t>Delegate</t>
  </si>
  <si>
    <t>3.0-6.0</t>
  </si>
  <si>
    <t>Chemical Plan for Blueberry Production</t>
  </si>
  <si>
    <t>Mallory Rahe, MU Extension</t>
  </si>
  <si>
    <t>Weighing scale</t>
  </si>
  <si>
    <t>Government payment support</t>
  </si>
  <si>
    <t>dollars</t>
  </si>
  <si>
    <t>Fungicides</t>
  </si>
  <si>
    <t>Insecticides</t>
  </si>
  <si>
    <t>Herbicides</t>
  </si>
  <si>
    <t>Chemical Summaries for Budget</t>
  </si>
  <si>
    <t>Total cost</t>
  </si>
  <si>
    <t>Custom hire</t>
  </si>
  <si>
    <t>cubic yards</t>
  </si>
  <si>
    <t>Recommended Quantity (Midpoint)</t>
  </si>
  <si>
    <t>Cold storage (Freezer, convertible to fridge)</t>
  </si>
  <si>
    <t>Cold storage (Fridge, w/ standard top-freezer)</t>
  </si>
  <si>
    <t>Pruners</t>
  </si>
  <si>
    <t>45 HP Used Tractor w/ Canopy</t>
  </si>
  <si>
    <t>Finish mower, 8 ft.; 45 HP MFWD</t>
  </si>
  <si>
    <t>Year</t>
  </si>
  <si>
    <t>Expenses</t>
  </si>
  <si>
    <t>Net income</t>
  </si>
  <si>
    <t>Cumulative returns</t>
  </si>
  <si>
    <t>Year 4</t>
  </si>
  <si>
    <t>Year 6</t>
  </si>
  <si>
    <t>Year 8</t>
  </si>
  <si>
    <t>Harvest</t>
  </si>
  <si>
    <t>Pounds per acre at full production</t>
  </si>
  <si>
    <t>Revenue per acre</t>
  </si>
  <si>
    <t>Operating costs per acre</t>
  </si>
  <si>
    <t>U-pick Blueberry Enterprise Budget</t>
  </si>
  <si>
    <t>Pine mulch</t>
  </si>
  <si>
    <t>Ph amendment</t>
  </si>
  <si>
    <t>Soil amendment</t>
  </si>
  <si>
    <t>Budget created by: Clare Staley, Mallory Rahe and Patrick Byers</t>
  </si>
  <si>
    <t>For budget questions, contact:</t>
  </si>
  <si>
    <t>Establishment costs</t>
  </si>
  <si>
    <t>Avg Yield Pds/Plant</t>
  </si>
  <si>
    <t>Width between Rows</t>
  </si>
  <si>
    <t>Square feet per plant</t>
  </si>
  <si>
    <t>Plant width within rows</t>
  </si>
  <si>
    <t>Plants per acre</t>
  </si>
  <si>
    <t>Explore estimated annual per acre returns over total costs under varying revenue and cost scenarios.</t>
  </si>
  <si>
    <t>Harvest loss</t>
  </si>
  <si>
    <t>*Adjust price per pound on the budget tab.</t>
  </si>
  <si>
    <t>Price per pound*</t>
  </si>
  <si>
    <t>Orchard planting density</t>
  </si>
  <si>
    <t>Year 3
no harvest</t>
  </si>
  <si>
    <t>Dollars per acre</t>
  </si>
  <si>
    <t>Barrier installation (custom hire)</t>
  </si>
  <si>
    <t>Landscape Ground Cover</t>
  </si>
  <si>
    <t>Moldboard plow, 9 Ft, 45 HP MFWD</t>
  </si>
  <si>
    <t>Planting</t>
  </si>
  <si>
    <t>Mulch wagon, side delivery, 45 HP MFWD</t>
  </si>
  <si>
    <t>Fescue seed</t>
  </si>
  <si>
    <t>Machinery fuel</t>
  </si>
  <si>
    <t>Repairs and Maintenance</t>
  </si>
  <si>
    <t>Tractor and machinery</t>
  </si>
  <si>
    <t>Infrastructure</t>
  </si>
  <si>
    <t>Table 1. Initial infrastructure investments for one acre</t>
  </si>
  <si>
    <t>Table 2. Blueberry investments for one acre when harvest starts</t>
  </si>
  <si>
    <t>Repair Cost</t>
  </si>
  <si>
    <t>check</t>
  </si>
  <si>
    <t>Check</t>
  </si>
  <si>
    <t>Machinery</t>
  </si>
  <si>
    <t>Establishment to Maturity Estimates Per Acre*</t>
  </si>
  <si>
    <t>*Model assumes all costs and price per pound are constant, only yields vary.</t>
  </si>
  <si>
    <t>tractor ratio</t>
  </si>
  <si>
    <t xml:space="preserve">This budget assumes the grower is establishing a 3-acre system to justify drip irrigation, but models all costs and returns on a per-acre basis. Tractor and machinery costs are based on an assumption that blueberries represent one-third of the farm's production. </t>
  </si>
  <si>
    <t>Expected Yield</t>
  </si>
  <si>
    <t>Annual Blueberry Operating Costs and Revenue Sensitivity Table - Full Production Years 8-13</t>
  </si>
  <si>
    <t>Years 4-7
yield curve</t>
  </si>
  <si>
    <t>Years 8-16
 full production</t>
  </si>
  <si>
    <t>Break-even price per pound, includes all cumulative costs</t>
  </si>
  <si>
    <t>Customers needed to reach desired yield</t>
  </si>
  <si>
    <t>Distinct customer hours</t>
  </si>
  <si>
    <t>Customers needed per hour</t>
  </si>
  <si>
    <t>U-pick Blueberry Orchard Harvest Labor Calculator</t>
  </si>
  <si>
    <t>Pounds purchased/customer</t>
  </si>
  <si>
    <t>Customer hours needed to harvest desired yield</t>
  </si>
  <si>
    <t>U-pick hours offered per day</t>
  </si>
  <si>
    <t>U-Pick days per week</t>
  </si>
  <si>
    <t>Expected U-Pick Weeks</t>
  </si>
  <si>
    <t>Expected Blueberry Yield/Week</t>
  </si>
  <si>
    <t>Total U-pick hours</t>
  </si>
  <si>
    <t>Expected harvest pounds/hour</t>
  </si>
  <si>
    <t>Total Orchard size in acres</t>
  </si>
  <si>
    <t>Farm Labor Hours Per Acre during harvest</t>
  </si>
  <si>
    <t># cashiers for the whole orchard</t>
  </si>
  <si>
    <t>Total Hours Per Acre</t>
  </si>
  <si>
    <t>Total labor hours for the whole orchard</t>
  </si>
  <si>
    <t>Worker per acre helping U-pick customers</t>
  </si>
  <si>
    <t>Worker hours to harvest (5 pounds/hour)</t>
  </si>
  <si>
    <t>Pre-harvest volume pounds/acre</t>
  </si>
  <si>
    <t>Customer Behavior Assumptions</t>
  </si>
  <si>
    <t>Expected time/customer</t>
  </si>
  <si>
    <t>U-Pick Operation Details</t>
  </si>
  <si>
    <t>Customer hours to harvest 1 pound</t>
  </si>
  <si>
    <t>Inexperienced pickers</t>
  </si>
  <si>
    <t>Experienced</t>
  </si>
  <si>
    <t>Paid labor</t>
  </si>
  <si>
    <t>Experience level</t>
  </si>
  <si>
    <t>How many berries is the average customer purchasing?</t>
  </si>
  <si>
    <t>Labor hours spent scouting before and clean up for the whole orchard each day</t>
  </si>
  <si>
    <t>Customers/field worker</t>
  </si>
  <si>
    <t>Record customer behaviors to find trend for your customers</t>
  </si>
  <si>
    <t>How long does the average customer linger?</t>
  </si>
  <si>
    <t>Time estimates needed to pick 1 pound</t>
  </si>
  <si>
    <t>Average Hours before full harvest in budget</t>
  </si>
  <si>
    <t>Updated: 3/2026</t>
  </si>
  <si>
    <t>This budget models 1 acre of u-pick blueberry production in Missouri with a 4-foot-by-12-foot row spacing. We assume growers start preparing the site for planting at least one year in advance, this is Year 1. Blueberry bushes are planted in Year 2, bear fruit in Year 4, achieve full yield potential by Year 8, and are exhausted at Year 16.</t>
  </si>
  <si>
    <t>For more information:</t>
  </si>
  <si>
    <t>MU Extension publication G714, Blueberry Planning Budget (extension.missouri.edu/publications/g714)</t>
  </si>
  <si>
    <t>Blueberry Budget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</si>
</sst>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7" formatCode="&quot;$&quot;#,##0.00_);\(&quot;$&quot;#,##0.00\)"/>
    <numFmt numFmtId="44" formatCode="_(&quot;$&quot;* #,##0.00_);_(&quot;$&quot;* \(#,##0.00\);_(&quot;$&quot;* &quot;-&quot;??_);_(@_)"/>
    <numFmt numFmtId="164" formatCode="&quot;$&quot;#,##0.00"/>
    <numFmt numFmtId="165" formatCode="0.0"/>
    <numFmt numFmtId="166" formatCode="#,##0.0"/>
    <numFmt numFmtId="167" formatCode="0.0%"/>
    <numFmt numFmtId="168" formatCode="_(&quot;$&quot;* #,##0_);_(&quot;$&quot;* \(#,##0\);_(&quot;$&quot;* &quot;-&quot;??_);_(@_)"/>
    <numFmt numFmtId="169" formatCode="&quot;$&quot;#,##0"/>
  </numFmts>
  <fonts count="54" x14ac:knownFonts="1">
    <font>
      <sz val="11"/>
      <color theme="1"/>
      <name val="Aptos"/>
      <family val="2"/>
      <scheme val="minor"/>
    </font>
    <font>
      <sz val="11"/>
      <color theme="1"/>
      <name val="Aptos"/>
      <family val="2"/>
      <scheme val="minor"/>
    </font>
    <font>
      <sz val="11"/>
      <color theme="1"/>
      <name val="Palatino Linotype"/>
      <family val="1"/>
    </font>
    <font>
      <b/>
      <sz val="11"/>
      <color theme="1"/>
      <name val="Aptos"/>
      <family val="2"/>
      <scheme val="minor"/>
    </font>
    <font>
      <b/>
      <sz val="12"/>
      <color theme="1"/>
      <name val="Aptos"/>
      <family val="2"/>
      <scheme val="minor"/>
    </font>
    <font>
      <b/>
      <sz val="12"/>
      <color rgb="FFFDB719"/>
      <name val="Aptos Black"/>
      <family val="2"/>
      <scheme val="major"/>
    </font>
    <font>
      <b/>
      <sz val="11"/>
      <name val="Aptos"/>
      <family val="2"/>
      <scheme val="minor"/>
    </font>
    <font>
      <sz val="10"/>
      <color theme="1"/>
      <name val="Aptos"/>
      <family val="2"/>
      <scheme val="minor"/>
    </font>
    <font>
      <b/>
      <sz val="11"/>
      <color rgb="FF3F3F3F"/>
      <name val="Aptos"/>
      <family val="2"/>
      <scheme val="minor"/>
    </font>
    <font>
      <sz val="11"/>
      <color theme="1"/>
      <name val="Segoe UI"/>
      <family val="2"/>
    </font>
    <font>
      <b/>
      <sz val="14"/>
      <color rgb="FFF1B82D"/>
      <name val="Aptos"/>
      <family val="2"/>
      <scheme val="minor"/>
    </font>
    <font>
      <sz val="12"/>
      <color theme="1"/>
      <name val="Aptos"/>
      <family val="2"/>
      <scheme val="minor"/>
    </font>
    <font>
      <u/>
      <sz val="12"/>
      <color theme="1"/>
      <name val="Aptos"/>
      <family val="2"/>
      <scheme val="minor"/>
    </font>
    <font>
      <b/>
      <sz val="12"/>
      <color rgb="FF3F3F3F"/>
      <name val="Aptos"/>
      <family val="2"/>
      <scheme val="minor"/>
    </font>
    <font>
      <sz val="12"/>
      <color theme="1"/>
      <name val="Palatino Linotype"/>
      <family val="1"/>
    </font>
    <font>
      <b/>
      <sz val="12"/>
      <name val="Aptos"/>
      <family val="2"/>
      <scheme val="minor"/>
    </font>
    <font>
      <i/>
      <sz val="12"/>
      <color theme="1"/>
      <name val="Aptos"/>
      <family val="2"/>
      <scheme val="minor"/>
    </font>
    <font>
      <sz val="12"/>
      <name val="Aptos"/>
      <family val="2"/>
      <scheme val="minor"/>
    </font>
    <font>
      <b/>
      <sz val="12"/>
      <color rgb="FFF1B82D"/>
      <name val="Aptos"/>
      <family val="2"/>
      <scheme val="minor"/>
    </font>
    <font>
      <sz val="16"/>
      <color rgb="FFFDB719"/>
      <name val="Aptos Black"/>
      <family val="2"/>
      <scheme val="major"/>
    </font>
    <font>
      <b/>
      <sz val="16"/>
      <color rgb="FFF1B82D"/>
      <name val="Aptos Black"/>
      <family val="2"/>
      <scheme val="major"/>
    </font>
    <font>
      <u/>
      <sz val="11"/>
      <color theme="10"/>
      <name val="Aptos"/>
      <family val="2"/>
      <scheme val="minor"/>
    </font>
    <font>
      <b/>
      <u/>
      <sz val="12"/>
      <color theme="10"/>
      <name val="Aptos"/>
      <family val="2"/>
      <scheme val="minor"/>
    </font>
    <font>
      <sz val="11"/>
      <color theme="1"/>
      <name val="Aptos"/>
      <family val="2"/>
    </font>
    <font>
      <b/>
      <sz val="18"/>
      <color theme="1"/>
      <name val="Aptos"/>
      <family val="2"/>
    </font>
    <font>
      <b/>
      <sz val="11"/>
      <color theme="1"/>
      <name val="Aptos"/>
      <family val="2"/>
    </font>
    <font>
      <i/>
      <sz val="9"/>
      <color theme="1"/>
      <name val="Aptos"/>
      <family val="2"/>
    </font>
    <font>
      <sz val="12"/>
      <color theme="1"/>
      <name val="Aptos"/>
      <family val="2"/>
    </font>
    <font>
      <b/>
      <sz val="12"/>
      <name val="Aptos"/>
      <family val="2"/>
    </font>
    <font>
      <b/>
      <sz val="12"/>
      <color theme="1"/>
      <name val="Aptos"/>
      <family val="2"/>
    </font>
    <font>
      <b/>
      <u/>
      <sz val="12"/>
      <name val="Aptos"/>
      <family val="2"/>
    </font>
    <font>
      <sz val="11"/>
      <name val="Aptos"/>
      <family val="2"/>
    </font>
    <font>
      <sz val="12"/>
      <name val="Aptos"/>
      <family val="2"/>
    </font>
    <font>
      <b/>
      <vertAlign val="superscript"/>
      <sz val="12"/>
      <color theme="1"/>
      <name val="Aptos"/>
      <family val="2"/>
    </font>
    <font>
      <vertAlign val="superscript"/>
      <sz val="12"/>
      <color theme="1"/>
      <name val="Aptos"/>
      <family val="2"/>
    </font>
    <font>
      <sz val="10"/>
      <color theme="1"/>
      <name val="Aptos"/>
      <family val="2"/>
    </font>
    <font>
      <b/>
      <u/>
      <sz val="12"/>
      <color theme="1"/>
      <name val="Aptos"/>
      <family val="2"/>
      <scheme val="minor"/>
    </font>
    <font>
      <vertAlign val="superscript"/>
      <sz val="11"/>
      <color theme="1"/>
      <name val="Aptos"/>
      <family val="2"/>
    </font>
    <font>
      <b/>
      <sz val="11"/>
      <name val="Aptos"/>
      <family val="2"/>
    </font>
    <font>
      <i/>
      <sz val="9"/>
      <name val="Aptos"/>
      <family val="2"/>
    </font>
    <font>
      <sz val="11"/>
      <name val="Aptos"/>
      <family val="2"/>
      <scheme val="minor"/>
    </font>
    <font>
      <u/>
      <sz val="11"/>
      <name val="Aptos"/>
      <family val="2"/>
      <scheme val="minor"/>
    </font>
    <font>
      <sz val="10"/>
      <name val="Aptos"/>
      <family val="2"/>
      <scheme val="minor"/>
    </font>
    <font>
      <sz val="11"/>
      <name val="Palatino Linotype"/>
      <family val="1"/>
    </font>
    <font>
      <i/>
      <sz val="9"/>
      <name val="Aptos"/>
      <family val="2"/>
      <scheme val="minor"/>
    </font>
    <font>
      <sz val="8"/>
      <name val="Aptos"/>
      <family val="2"/>
      <scheme val="minor"/>
    </font>
    <font>
      <sz val="12"/>
      <color rgb="FFFF0000"/>
      <name val="Aptos"/>
      <family val="2"/>
      <scheme val="minor"/>
    </font>
    <font>
      <b/>
      <sz val="14"/>
      <color theme="7"/>
      <name val="Aptos Black"/>
      <family val="2"/>
      <scheme val="major"/>
    </font>
    <font>
      <b/>
      <sz val="14"/>
      <color rgb="FFF1B82D"/>
      <name val="Aptos Black"/>
      <family val="2"/>
      <scheme val="major"/>
    </font>
    <font>
      <sz val="9"/>
      <color indexed="81"/>
      <name val="Tahoma"/>
      <family val="2"/>
    </font>
    <font>
      <b/>
      <sz val="9"/>
      <color indexed="81"/>
      <name val="Tahoma"/>
      <family val="2"/>
    </font>
    <font>
      <sz val="12"/>
      <name val="Palatino Linotype"/>
      <family val="1"/>
    </font>
    <font>
      <b/>
      <sz val="14"/>
      <color theme="7"/>
      <name val="Aptos"/>
      <family val="2"/>
      <scheme val="minor"/>
    </font>
    <font>
      <u/>
      <sz val="12"/>
      <color theme="10"/>
      <name val="Aptos"/>
      <family val="2"/>
      <scheme val="minor"/>
    </font>
  </fonts>
  <fills count="8">
    <fill>
      <patternFill patternType="none"/>
    </fill>
    <fill>
      <patternFill patternType="gray125"/>
    </fill>
    <fill>
      <patternFill patternType="solid">
        <fgColor theme="2"/>
        <bgColor indexed="64"/>
      </patternFill>
    </fill>
    <fill>
      <patternFill patternType="solid">
        <fgColor theme="1"/>
        <bgColor indexed="64"/>
      </patternFill>
    </fill>
    <fill>
      <patternFill patternType="solid">
        <fgColor rgb="FFF2F2F2"/>
      </patternFill>
    </fill>
    <fill>
      <patternFill patternType="solid">
        <fgColor theme="0"/>
        <bgColor indexed="64"/>
      </patternFill>
    </fill>
    <fill>
      <patternFill patternType="solid">
        <fgColor theme="7"/>
        <bgColor indexed="64"/>
      </patternFill>
    </fill>
    <fill>
      <patternFill patternType="solid">
        <fgColor theme="7" tint="0.79998168889431442"/>
        <bgColor indexed="64"/>
      </patternFill>
    </fill>
  </fills>
  <borders count="42">
    <border>
      <left/>
      <right/>
      <top/>
      <bottom/>
      <diagonal/>
    </border>
    <border>
      <left/>
      <right/>
      <top style="thin">
        <color indexed="64"/>
      </top>
      <bottom style="thin">
        <color indexed="64"/>
      </bottom>
      <diagonal/>
    </border>
    <border>
      <left/>
      <right/>
      <top/>
      <bottom style="thin">
        <color indexed="64"/>
      </bottom>
      <diagonal/>
    </border>
    <border>
      <left/>
      <right/>
      <top/>
      <bottom style="double">
        <color indexed="64"/>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top/>
      <bottom style="medium">
        <color indexed="64"/>
      </bottom>
      <diagonal/>
    </border>
    <border>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right style="medium">
        <color indexed="64"/>
      </right>
      <top style="medium">
        <color indexed="64"/>
      </top>
      <bottom/>
      <diagonal/>
    </border>
    <border>
      <left/>
      <right/>
      <top style="double">
        <color indexed="64"/>
      </top>
      <bottom style="thin">
        <color indexed="64"/>
      </bottom>
      <diagonal/>
    </border>
  </borders>
  <cellStyleXfs count="6">
    <xf numFmtId="0" fontId="0" fillId="0" borderId="0"/>
    <xf numFmtId="9" fontId="1" fillId="0" borderId="0" applyFont="0" applyFill="0" applyBorder="0" applyAlignment="0" applyProtection="0"/>
    <xf numFmtId="0" fontId="8" fillId="4" borderId="4" applyNumberFormat="0" applyAlignment="0" applyProtection="0"/>
    <xf numFmtId="0" fontId="1" fillId="0" borderId="0"/>
    <xf numFmtId="44" fontId="1" fillId="0" borderId="0" applyFont="0" applyFill="0" applyBorder="0" applyAlignment="0" applyProtection="0"/>
    <xf numFmtId="0" fontId="21" fillId="0" borderId="0" applyNumberFormat="0" applyFill="0" applyBorder="0" applyAlignment="0" applyProtection="0"/>
  </cellStyleXfs>
  <cellXfs count="364">
    <xf numFmtId="0" fontId="0" fillId="0" borderId="0" xfId="0"/>
    <xf numFmtId="0" fontId="2" fillId="0" borderId="0" xfId="0" applyFont="1"/>
    <xf numFmtId="0" fontId="9" fillId="5" borderId="0" xfId="0" applyFont="1" applyFill="1"/>
    <xf numFmtId="0" fontId="9" fillId="0" borderId="0" xfId="0" applyFont="1"/>
    <xf numFmtId="0" fontId="0" fillId="5" borderId="0" xfId="0" applyFill="1"/>
    <xf numFmtId="0" fontId="3" fillId="5" borderId="0" xfId="0" applyFont="1" applyFill="1" applyAlignment="1">
      <alignment horizontal="left" indent="4"/>
    </xf>
    <xf numFmtId="0" fontId="11" fillId="5" borderId="0" xfId="0" applyFont="1" applyFill="1"/>
    <xf numFmtId="0" fontId="11" fillId="0" borderId="0" xfId="0" applyFont="1"/>
    <xf numFmtId="0" fontId="4" fillId="5" borderId="0" xfId="0" applyFont="1" applyFill="1"/>
    <xf numFmtId="0" fontId="14" fillId="0" borderId="0" xfId="0" applyFont="1"/>
    <xf numFmtId="164" fontId="11" fillId="2" borderId="0" xfId="4" applyNumberFormat="1" applyFont="1" applyFill="1" applyProtection="1">
      <protection locked="0"/>
    </xf>
    <xf numFmtId="166" fontId="11" fillId="2" borderId="0" xfId="0" applyNumberFormat="1" applyFont="1" applyFill="1" applyProtection="1">
      <protection locked="0"/>
    </xf>
    <xf numFmtId="10" fontId="11" fillId="2" borderId="0" xfId="0" applyNumberFormat="1" applyFont="1" applyFill="1" applyProtection="1">
      <protection locked="0"/>
    </xf>
    <xf numFmtId="165" fontId="11" fillId="2" borderId="0" xfId="0" applyNumberFormat="1" applyFont="1" applyFill="1" applyProtection="1">
      <protection locked="0"/>
    </xf>
    <xf numFmtId="0" fontId="0" fillId="0" borderId="2" xfId="0" applyBorder="1"/>
    <xf numFmtId="0" fontId="0" fillId="0" borderId="11" xfId="0" applyBorder="1"/>
    <xf numFmtId="6" fontId="11" fillId="0" borderId="11" xfId="4" applyNumberFormat="1" applyFont="1" applyBorder="1" applyProtection="1"/>
    <xf numFmtId="7" fontId="11" fillId="0" borderId="18" xfId="4" applyNumberFormat="1" applyFont="1" applyBorder="1" applyAlignment="1" applyProtection="1">
      <alignment horizontal="center"/>
    </xf>
    <xf numFmtId="6" fontId="17" fillId="0" borderId="12" xfId="4" applyNumberFormat="1" applyFont="1" applyBorder="1" applyProtection="1"/>
    <xf numFmtId="6" fontId="17" fillId="0" borderId="0" xfId="4" applyNumberFormat="1" applyFont="1" applyBorder="1" applyProtection="1"/>
    <xf numFmtId="6" fontId="11" fillId="0" borderId="0" xfId="4" applyNumberFormat="1" applyFont="1" applyBorder="1" applyProtection="1"/>
    <xf numFmtId="6" fontId="11" fillId="0" borderId="14" xfId="4" applyNumberFormat="1" applyFont="1" applyBorder="1" applyProtection="1"/>
    <xf numFmtId="6" fontId="17" fillId="0" borderId="11" xfId="4" applyNumberFormat="1" applyFont="1" applyFill="1" applyBorder="1" applyProtection="1"/>
    <xf numFmtId="6" fontId="11" fillId="0" borderId="12" xfId="4" applyNumberFormat="1" applyFont="1" applyBorder="1" applyProtection="1"/>
    <xf numFmtId="6" fontId="17" fillId="0" borderId="0" xfId="4" applyNumberFormat="1" applyFont="1" applyFill="1" applyBorder="1" applyProtection="1"/>
    <xf numFmtId="6" fontId="17" fillId="0" borderId="17" xfId="4" applyNumberFormat="1" applyFont="1" applyFill="1" applyBorder="1" applyProtection="1"/>
    <xf numFmtId="9" fontId="11" fillId="5" borderId="0" xfId="1" applyFont="1" applyFill="1" applyProtection="1"/>
    <xf numFmtId="9" fontId="11" fillId="5" borderId="0" xfId="1" applyFont="1" applyFill="1" applyBorder="1" applyProtection="1"/>
    <xf numFmtId="164" fontId="11" fillId="0" borderId="0" xfId="4" applyNumberFormat="1" applyFont="1" applyProtection="1"/>
    <xf numFmtId="0" fontId="2" fillId="6" borderId="0" xfId="0" applyFont="1" applyFill="1"/>
    <xf numFmtId="0" fontId="4" fillId="5" borderId="0" xfId="0" applyFont="1" applyFill="1" applyAlignment="1">
      <alignment vertical="top" wrapText="1"/>
    </xf>
    <xf numFmtId="0" fontId="4" fillId="5" borderId="0" xfId="0" applyFont="1" applyFill="1" applyAlignment="1">
      <alignment horizontal="left" vertical="top"/>
    </xf>
    <xf numFmtId="0" fontId="7" fillId="0" borderId="0" xfId="0" applyFont="1"/>
    <xf numFmtId="0" fontId="18" fillId="3" borderId="12" xfId="0" applyFont="1" applyFill="1" applyBorder="1" applyAlignment="1">
      <alignment horizontal="center" textRotation="90"/>
    </xf>
    <xf numFmtId="3" fontId="11" fillId="0" borderId="1" xfId="0" applyNumberFormat="1" applyFont="1" applyBorder="1"/>
    <xf numFmtId="0" fontId="17" fillId="5" borderId="12" xfId="0" applyFont="1" applyFill="1" applyBorder="1" applyAlignment="1">
      <alignment horizontal="left" vertical="center"/>
    </xf>
    <xf numFmtId="9" fontId="17" fillId="5" borderId="12" xfId="0" applyNumberFormat="1" applyFont="1" applyFill="1" applyBorder="1" applyAlignment="1">
      <alignment horizontal="left" vertical="center"/>
    </xf>
    <xf numFmtId="0" fontId="16" fillId="3" borderId="16" xfId="0" applyFont="1" applyFill="1" applyBorder="1"/>
    <xf numFmtId="3" fontId="11" fillId="0" borderId="1" xfId="0" applyNumberFormat="1" applyFont="1" applyBorder="1" applyAlignment="1">
      <alignment horizontal="right"/>
    </xf>
    <xf numFmtId="2" fontId="11" fillId="0" borderId="15" xfId="0" applyNumberFormat="1" applyFont="1" applyBorder="1" applyAlignment="1">
      <alignment horizontal="left"/>
    </xf>
    <xf numFmtId="0" fontId="11" fillId="5" borderId="0" xfId="0" applyFont="1" applyFill="1" applyAlignment="1">
      <alignment horizontal="left"/>
    </xf>
    <xf numFmtId="0" fontId="12" fillId="5" borderId="0" xfId="0" applyFont="1" applyFill="1"/>
    <xf numFmtId="0" fontId="11" fillId="5" borderId="0" xfId="0" applyFont="1" applyFill="1" applyAlignment="1">
      <alignment horizontal="right"/>
    </xf>
    <xf numFmtId="164" fontId="11" fillId="5" borderId="0" xfId="0" applyNumberFormat="1" applyFont="1" applyFill="1"/>
    <xf numFmtId="0" fontId="4" fillId="0" borderId="0" xfId="0" applyFont="1"/>
    <xf numFmtId="164" fontId="11" fillId="0" borderId="0" xfId="4" applyNumberFormat="1" applyFont="1" applyFill="1" applyProtection="1"/>
    <xf numFmtId="0" fontId="9" fillId="5" borderId="0" xfId="0" applyFont="1" applyFill="1" applyAlignment="1">
      <alignment horizontal="center"/>
    </xf>
    <xf numFmtId="0" fontId="5" fillId="0" borderId="0" xfId="0" applyFont="1"/>
    <xf numFmtId="0" fontId="17" fillId="0" borderId="0" xfId="0" applyFont="1"/>
    <xf numFmtId="0" fontId="15" fillId="0" borderId="1" xfId="0" applyFont="1" applyBorder="1"/>
    <xf numFmtId="0" fontId="6" fillId="0" borderId="1" xfId="0" applyFont="1" applyBorder="1" applyAlignment="1">
      <alignment horizontal="left" wrapText="1"/>
    </xf>
    <xf numFmtId="0" fontId="15" fillId="0" borderId="1" xfId="0" applyFont="1" applyBorder="1" applyAlignment="1">
      <alignment horizontal="center" wrapText="1"/>
    </xf>
    <xf numFmtId="0" fontId="15" fillId="0" borderId="0" xfId="0" applyFont="1" applyAlignment="1">
      <alignment horizontal="center" wrapText="1"/>
    </xf>
    <xf numFmtId="0" fontId="15" fillId="0" borderId="0" xfId="0" applyFont="1"/>
    <xf numFmtId="0" fontId="15" fillId="0" borderId="0" xfId="0" applyFont="1" applyAlignment="1">
      <alignment horizontal="center"/>
    </xf>
    <xf numFmtId="164" fontId="11" fillId="0" borderId="2" xfId="0" applyNumberFormat="1" applyFont="1" applyBorder="1"/>
    <xf numFmtId="0" fontId="4" fillId="0" borderId="0" xfId="0" applyFont="1" applyAlignment="1">
      <alignment horizontal="right"/>
    </xf>
    <xf numFmtId="164" fontId="11" fillId="0" borderId="0" xfId="0" applyNumberFormat="1" applyFont="1"/>
    <xf numFmtId="166" fontId="11" fillId="0" borderId="0" xfId="0" applyNumberFormat="1" applyFont="1"/>
    <xf numFmtId="165" fontId="11" fillId="0" borderId="0" xfId="0" applyNumberFormat="1" applyFont="1"/>
    <xf numFmtId="9" fontId="7" fillId="0" borderId="0" xfId="0" applyNumberFormat="1" applyFont="1" applyAlignment="1">
      <alignment horizontal="left"/>
    </xf>
    <xf numFmtId="9" fontId="11" fillId="0" borderId="0" xfId="0" applyNumberFormat="1" applyFont="1" applyAlignment="1">
      <alignment horizontal="left"/>
    </xf>
    <xf numFmtId="3" fontId="11" fillId="0" borderId="0" xfId="0" applyNumberFormat="1" applyFont="1"/>
    <xf numFmtId="0" fontId="11" fillId="0" borderId="2" xfId="0" applyFont="1" applyBorder="1"/>
    <xf numFmtId="0" fontId="2" fillId="0" borderId="2" xfId="0" applyFont="1" applyBorder="1"/>
    <xf numFmtId="0" fontId="2" fillId="0" borderId="3" xfId="0" applyFont="1" applyBorder="1"/>
    <xf numFmtId="0" fontId="11" fillId="0" borderId="3" xfId="0" applyFont="1" applyBorder="1"/>
    <xf numFmtId="164" fontId="11" fillId="0" borderId="3" xfId="0" applyNumberFormat="1" applyFont="1" applyBorder="1"/>
    <xf numFmtId="0" fontId="4" fillId="5" borderId="0" xfId="0" applyFont="1" applyFill="1" applyAlignment="1">
      <alignment horizontal="right" vertical="top" wrapText="1"/>
    </xf>
    <xf numFmtId="0" fontId="22" fillId="5" borderId="0" xfId="5" applyFont="1" applyFill="1" applyAlignment="1">
      <alignment horizontal="left" vertical="top" wrapText="1"/>
    </xf>
    <xf numFmtId="0" fontId="4" fillId="5" borderId="0" xfId="0" applyFont="1" applyFill="1" applyAlignment="1">
      <alignment horizontal="left" vertical="top" wrapText="1"/>
    </xf>
    <xf numFmtId="0" fontId="18" fillId="3" borderId="2" xfId="0" applyFont="1" applyFill="1" applyBorder="1" applyAlignment="1">
      <alignment horizontal="center" textRotation="90"/>
    </xf>
    <xf numFmtId="0" fontId="16" fillId="3" borderId="21" xfId="0" applyFont="1" applyFill="1" applyBorder="1"/>
    <xf numFmtId="0" fontId="11" fillId="3" borderId="13" xfId="0" applyFont="1" applyFill="1" applyBorder="1"/>
    <xf numFmtId="0" fontId="4" fillId="0" borderId="0" xfId="0" applyFont="1" applyAlignment="1">
      <alignment horizontal="left"/>
    </xf>
    <xf numFmtId="0" fontId="4" fillId="0" borderId="2" xfId="0" applyFont="1" applyBorder="1" applyAlignment="1">
      <alignment horizontal="left"/>
    </xf>
    <xf numFmtId="0" fontId="23" fillId="0" borderId="0" xfId="0" applyFont="1"/>
    <xf numFmtId="0" fontId="23" fillId="0" borderId="0" xfId="0" applyFont="1" applyAlignment="1">
      <alignment horizontal="right"/>
    </xf>
    <xf numFmtId="0" fontId="27" fillId="0" borderId="2" xfId="0" applyFont="1" applyBorder="1"/>
    <xf numFmtId="0" fontId="27" fillId="0" borderId="0" xfId="0" applyFont="1"/>
    <xf numFmtId="0" fontId="28" fillId="0" borderId="1" xfId="0" applyFont="1" applyBorder="1" applyAlignment="1">
      <alignment horizontal="left" vertical="center"/>
    </xf>
    <xf numFmtId="0" fontId="28" fillId="0" borderId="1" xfId="0" applyFont="1" applyBorder="1" applyAlignment="1">
      <alignment horizontal="center" vertical="center"/>
    </xf>
    <xf numFmtId="0" fontId="29" fillId="0" borderId="1" xfId="0" applyFont="1" applyBorder="1" applyAlignment="1">
      <alignment horizontal="center" wrapText="1"/>
    </xf>
    <xf numFmtId="0" fontId="28" fillId="0" borderId="1" xfId="0" applyFont="1" applyBorder="1" applyAlignment="1">
      <alignment horizontal="center" wrapText="1"/>
    </xf>
    <xf numFmtId="0" fontId="30" fillId="0" borderId="0" xfId="0" applyFont="1" applyAlignment="1">
      <alignment horizontal="left" vertical="center"/>
    </xf>
    <xf numFmtId="0" fontId="31" fillId="0" borderId="0" xfId="0" applyFont="1" applyAlignment="1">
      <alignment horizontal="center" wrapText="1"/>
    </xf>
    <xf numFmtId="0" fontId="27" fillId="0" borderId="0" xfId="0" applyFont="1" applyAlignment="1">
      <alignment horizontal="left"/>
    </xf>
    <xf numFmtId="0" fontId="27" fillId="2" borderId="0" xfId="0" applyFont="1" applyFill="1" applyProtection="1">
      <protection locked="0"/>
    </xf>
    <xf numFmtId="167" fontId="27" fillId="2" borderId="0" xfId="0" applyNumberFormat="1" applyFont="1" applyFill="1" applyProtection="1">
      <protection locked="0"/>
    </xf>
    <xf numFmtId="40" fontId="27" fillId="0" borderId="0" xfId="0" applyNumberFormat="1" applyFont="1"/>
    <xf numFmtId="9" fontId="27" fillId="2" borderId="0" xfId="0" applyNumberFormat="1" applyFont="1" applyFill="1" applyProtection="1">
      <protection locked="0"/>
    </xf>
    <xf numFmtId="2" fontId="27" fillId="0" borderId="0" xfId="0" applyNumberFormat="1" applyFont="1"/>
    <xf numFmtId="9" fontId="27" fillId="2" borderId="2" xfId="0" applyNumberFormat="1" applyFont="1" applyFill="1" applyBorder="1" applyProtection="1">
      <protection locked="0"/>
    </xf>
    <xf numFmtId="2" fontId="27" fillId="0" borderId="2" xfId="0" applyNumberFormat="1" applyFont="1" applyBorder="1"/>
    <xf numFmtId="0" fontId="27" fillId="0" borderId="0" xfId="0" applyFont="1" applyAlignment="1">
      <alignment horizontal="right"/>
    </xf>
    <xf numFmtId="0" fontId="29" fillId="0" borderId="1" xfId="0" applyFont="1" applyBorder="1"/>
    <xf numFmtId="0" fontId="29" fillId="0" borderId="1" xfId="0" applyFont="1" applyBorder="1" applyAlignment="1">
      <alignment horizontal="right"/>
    </xf>
    <xf numFmtId="0" fontId="29" fillId="0" borderId="1" xfId="0" applyFont="1" applyBorder="1" applyAlignment="1">
      <alignment horizontal="right" wrapText="1"/>
    </xf>
    <xf numFmtId="3" fontId="27" fillId="0" borderId="0" xfId="0" applyNumberFormat="1" applyFont="1"/>
    <xf numFmtId="0" fontId="27" fillId="2" borderId="2" xfId="0" applyFont="1" applyFill="1" applyBorder="1" applyProtection="1">
      <protection locked="0"/>
    </xf>
    <xf numFmtId="9" fontId="27" fillId="2" borderId="0" xfId="1" applyFont="1" applyFill="1" applyProtection="1">
      <protection locked="0"/>
    </xf>
    <xf numFmtId="0" fontId="35" fillId="0" borderId="0" xfId="0" applyFont="1" applyAlignment="1">
      <alignment horizontal="left"/>
    </xf>
    <xf numFmtId="0" fontId="36" fillId="0" borderId="0" xfId="0" applyFont="1"/>
    <xf numFmtId="0" fontId="6" fillId="0" borderId="0" xfId="0" applyFont="1" applyAlignment="1">
      <alignment horizontal="left" wrapText="1"/>
    </xf>
    <xf numFmtId="0" fontId="24" fillId="0" borderId="0" xfId="0" applyFont="1"/>
    <xf numFmtId="0" fontId="25" fillId="0" borderId="0" xfId="0" applyFont="1"/>
    <xf numFmtId="0" fontId="25" fillId="0" borderId="0" xfId="0" applyFont="1" applyAlignment="1">
      <alignment horizontal="center"/>
    </xf>
    <xf numFmtId="0" fontId="25" fillId="0" borderId="0" xfId="0" applyFont="1" applyAlignment="1">
      <alignment horizontal="right"/>
    </xf>
    <xf numFmtId="0" fontId="26" fillId="0" borderId="0" xfId="0" applyFont="1" applyAlignment="1">
      <alignment horizontal="center"/>
    </xf>
    <xf numFmtId="2" fontId="23" fillId="0" borderId="0" xfId="0" applyNumberFormat="1" applyFont="1"/>
    <xf numFmtId="2" fontId="23" fillId="0" borderId="0" xfId="0" applyNumberFormat="1" applyFont="1" applyAlignment="1">
      <alignment horizontal="right"/>
    </xf>
    <xf numFmtId="1" fontId="23" fillId="0" borderId="0" xfId="0" applyNumberFormat="1" applyFont="1" applyAlignment="1">
      <alignment horizontal="right"/>
    </xf>
    <xf numFmtId="7" fontId="25" fillId="0" borderId="0" xfId="4" applyNumberFormat="1" applyFont="1" applyFill="1" applyBorder="1" applyAlignment="1">
      <alignment horizontal="right"/>
    </xf>
    <xf numFmtId="2" fontId="25" fillId="0" borderId="0" xfId="0" applyNumberFormat="1" applyFont="1"/>
    <xf numFmtId="1" fontId="25" fillId="0" borderId="0" xfId="0" applyNumberFormat="1" applyFont="1"/>
    <xf numFmtId="7" fontId="23" fillId="0" borderId="0" xfId="4" applyNumberFormat="1" applyFont="1" applyFill="1" applyBorder="1"/>
    <xf numFmtId="44" fontId="23" fillId="0" borderId="0" xfId="4" applyFont="1" applyFill="1" applyBorder="1"/>
    <xf numFmtId="0" fontId="21" fillId="0" borderId="0" xfId="5" applyFill="1" applyBorder="1"/>
    <xf numFmtId="0" fontId="38" fillId="0" borderId="1" xfId="0" applyFont="1" applyBorder="1"/>
    <xf numFmtId="0" fontId="38" fillId="0" borderId="1" xfId="0" applyFont="1" applyBorder="1" applyAlignment="1">
      <alignment horizontal="center"/>
    </xf>
    <xf numFmtId="0" fontId="38" fillId="0" borderId="1" xfId="0" applyFont="1" applyBorder="1" applyAlignment="1">
      <alignment horizontal="right"/>
    </xf>
    <xf numFmtId="0" fontId="31" fillId="0" borderId="0" xfId="0" applyFont="1"/>
    <xf numFmtId="0" fontId="31" fillId="0" borderId="0" xfId="0" applyFont="1" applyAlignment="1">
      <alignment horizontal="right"/>
    </xf>
    <xf numFmtId="0" fontId="39" fillId="0" borderId="0" xfId="0" applyFont="1" applyAlignment="1">
      <alignment horizontal="center"/>
    </xf>
    <xf numFmtId="2" fontId="31" fillId="0" borderId="0" xfId="0" applyNumberFormat="1" applyFont="1"/>
    <xf numFmtId="0" fontId="31" fillId="0" borderId="2" xfId="0" applyFont="1" applyBorder="1"/>
    <xf numFmtId="0" fontId="42" fillId="0" borderId="0" xfId="0" applyFont="1"/>
    <xf numFmtId="0" fontId="43" fillId="0" borderId="0" xfId="0" applyFont="1"/>
    <xf numFmtId="0" fontId="40" fillId="0" borderId="0" xfId="0" applyFont="1"/>
    <xf numFmtId="0" fontId="41" fillId="0" borderId="0" xfId="0" applyFont="1"/>
    <xf numFmtId="0" fontId="43" fillId="0" borderId="0" xfId="0" applyFont="1" applyAlignment="1">
      <alignment wrapText="1"/>
    </xf>
    <xf numFmtId="0" fontId="40" fillId="0" borderId="0" xfId="0" applyFont="1" applyAlignment="1">
      <alignment wrapText="1"/>
    </xf>
    <xf numFmtId="9" fontId="40" fillId="0" borderId="0" xfId="1" applyFont="1" applyFill="1" applyBorder="1" applyProtection="1"/>
    <xf numFmtId="0" fontId="40" fillId="0" borderId="0" xfId="0" applyFont="1" applyAlignment="1">
      <alignment horizontal="right"/>
    </xf>
    <xf numFmtId="164" fontId="40" fillId="0" borderId="0" xfId="0" applyNumberFormat="1" applyFont="1"/>
    <xf numFmtId="0" fontId="39" fillId="0" borderId="0" xfId="0" applyFont="1"/>
    <xf numFmtId="44" fontId="44" fillId="0" borderId="0" xfId="4" applyFont="1"/>
    <xf numFmtId="44" fontId="39" fillId="0" borderId="0" xfId="4" applyFont="1"/>
    <xf numFmtId="44" fontId="31" fillId="0" borderId="0" xfId="4" applyFont="1"/>
    <xf numFmtId="0" fontId="38" fillId="0" borderId="1" xfId="0" applyFont="1" applyBorder="1" applyAlignment="1">
      <alignment horizontal="left"/>
    </xf>
    <xf numFmtId="44" fontId="31" fillId="0" borderId="0" xfId="4" applyFont="1" applyAlignment="1">
      <alignment horizontal="center" wrapText="1"/>
    </xf>
    <xf numFmtId="44" fontId="27" fillId="0" borderId="0" xfId="4" applyFont="1"/>
    <xf numFmtId="44" fontId="27" fillId="0" borderId="2" xfId="4" applyFont="1" applyBorder="1"/>
    <xf numFmtId="44" fontId="28" fillId="0" borderId="1" xfId="4" applyFont="1" applyBorder="1" applyAlignment="1">
      <alignment horizontal="center" wrapText="1"/>
    </xf>
    <xf numFmtId="0" fontId="31" fillId="0" borderId="2" xfId="0" applyFont="1" applyBorder="1" applyAlignment="1">
      <alignment horizontal="right"/>
    </xf>
    <xf numFmtId="165" fontId="23" fillId="0" borderId="0" xfId="0" applyNumberFormat="1" applyFont="1"/>
    <xf numFmtId="166" fontId="27" fillId="2" borderId="0" xfId="0" applyNumberFormat="1" applyFont="1" applyFill="1" applyAlignment="1" applyProtection="1">
      <alignment horizontal="right"/>
      <protection locked="0"/>
    </xf>
    <xf numFmtId="0" fontId="23" fillId="2" borderId="2" xfId="0" applyFont="1" applyFill="1" applyBorder="1" applyAlignment="1" applyProtection="1">
      <alignment horizontal="left"/>
      <protection locked="0"/>
    </xf>
    <xf numFmtId="167" fontId="27" fillId="2" borderId="2" xfId="0" applyNumberFormat="1" applyFont="1" applyFill="1" applyBorder="1" applyProtection="1">
      <protection locked="0"/>
    </xf>
    <xf numFmtId="0" fontId="27" fillId="0" borderId="11" xfId="0" applyFont="1" applyBorder="1" applyAlignment="1">
      <alignment horizontal="right"/>
    </xf>
    <xf numFmtId="0" fontId="27" fillId="0" borderId="11" xfId="0" applyFont="1" applyBorder="1"/>
    <xf numFmtId="40" fontId="27" fillId="0" borderId="11" xfId="0" applyNumberFormat="1" applyFont="1" applyBorder="1"/>
    <xf numFmtId="0" fontId="17" fillId="0" borderId="0" xfId="0" applyFont="1" applyAlignment="1">
      <alignment horizontal="center" wrapText="1"/>
    </xf>
    <xf numFmtId="0" fontId="17" fillId="0" borderId="0" xfId="0" applyFont="1" applyAlignment="1">
      <alignment horizontal="center"/>
    </xf>
    <xf numFmtId="0" fontId="0" fillId="0" borderId="15" xfId="0" applyBorder="1"/>
    <xf numFmtId="168" fontId="0" fillId="0" borderId="24" xfId="0" applyNumberFormat="1" applyBorder="1"/>
    <xf numFmtId="168" fontId="0" fillId="0" borderId="26" xfId="0" applyNumberFormat="1" applyBorder="1"/>
    <xf numFmtId="168" fontId="0" fillId="0" borderId="27" xfId="0" applyNumberFormat="1" applyBorder="1"/>
    <xf numFmtId="0" fontId="3" fillId="0" borderId="28" xfId="0" applyFont="1" applyBorder="1" applyAlignment="1">
      <alignment wrapText="1"/>
    </xf>
    <xf numFmtId="0" fontId="3" fillId="0" borderId="29" xfId="0" applyFont="1" applyBorder="1" applyAlignment="1">
      <alignment horizontal="right" wrapText="1"/>
    </xf>
    <xf numFmtId="0" fontId="3" fillId="0" borderId="30" xfId="0" applyFont="1" applyBorder="1" applyAlignment="1">
      <alignment horizontal="right" wrapText="1"/>
    </xf>
    <xf numFmtId="0" fontId="11" fillId="3" borderId="22" xfId="0" applyFont="1" applyFill="1" applyBorder="1"/>
    <xf numFmtId="0" fontId="11" fillId="3" borderId="31" xfId="0" applyFont="1" applyFill="1" applyBorder="1"/>
    <xf numFmtId="0" fontId="18" fillId="3" borderId="15" xfId="0" applyFont="1" applyFill="1" applyBorder="1" applyAlignment="1">
      <alignment horizontal="center" textRotation="90"/>
    </xf>
    <xf numFmtId="3" fontId="11" fillId="0" borderId="32" xfId="0" applyNumberFormat="1" applyFont="1" applyBorder="1" applyAlignment="1">
      <alignment horizontal="right"/>
    </xf>
    <xf numFmtId="6" fontId="17" fillId="0" borderId="33" xfId="4" applyNumberFormat="1" applyFont="1" applyFill="1" applyBorder="1" applyProtection="1"/>
    <xf numFmtId="6" fontId="17" fillId="0" borderId="24" xfId="4" applyNumberFormat="1" applyFont="1" applyFill="1" applyBorder="1" applyProtection="1"/>
    <xf numFmtId="2" fontId="11" fillId="0" borderId="25" xfId="0" applyNumberFormat="1" applyFont="1" applyBorder="1" applyAlignment="1">
      <alignment horizontal="left"/>
    </xf>
    <xf numFmtId="6" fontId="11" fillId="0" borderId="34" xfId="4" applyNumberFormat="1" applyFont="1" applyBorder="1" applyProtection="1"/>
    <xf numFmtId="6" fontId="11" fillId="0" borderId="26" xfId="4" applyNumberFormat="1" applyFont="1" applyBorder="1" applyProtection="1"/>
    <xf numFmtId="6" fontId="17" fillId="0" borderId="26" xfId="4" applyNumberFormat="1" applyFont="1" applyFill="1" applyBorder="1" applyProtection="1"/>
    <xf numFmtId="6" fontId="17" fillId="0" borderId="27" xfId="4" applyNumberFormat="1" applyFont="1" applyFill="1" applyBorder="1" applyProtection="1"/>
    <xf numFmtId="0" fontId="11" fillId="3" borderId="23" xfId="0" applyFont="1" applyFill="1" applyBorder="1"/>
    <xf numFmtId="0" fontId="11" fillId="3" borderId="35" xfId="0" applyFont="1" applyFill="1" applyBorder="1"/>
    <xf numFmtId="0" fontId="11" fillId="3" borderId="15" xfId="0" applyFont="1" applyFill="1" applyBorder="1"/>
    <xf numFmtId="0" fontId="11" fillId="3" borderId="0" xfId="0" applyFont="1" applyFill="1"/>
    <xf numFmtId="0" fontId="17" fillId="5" borderId="0" xfId="0" applyFont="1" applyFill="1" applyAlignment="1">
      <alignment horizontal="right"/>
    </xf>
    <xf numFmtId="0" fontId="17" fillId="5" borderId="24" xfId="0" applyFont="1" applyFill="1" applyBorder="1" applyAlignment="1">
      <alignment horizontal="right"/>
    </xf>
    <xf numFmtId="0" fontId="18" fillId="3" borderId="20" xfId="0" applyFont="1" applyFill="1" applyBorder="1" applyAlignment="1">
      <alignment horizontal="center" textRotation="90"/>
    </xf>
    <xf numFmtId="3" fontId="11" fillId="0" borderId="32" xfId="0" applyNumberFormat="1" applyFont="1" applyBorder="1"/>
    <xf numFmtId="6" fontId="11" fillId="0" borderId="24" xfId="4" applyNumberFormat="1" applyFont="1" applyBorder="1" applyProtection="1"/>
    <xf numFmtId="0" fontId="17" fillId="5" borderId="34" xfId="0" applyFont="1" applyFill="1" applyBorder="1" applyAlignment="1">
      <alignment horizontal="left" vertical="center"/>
    </xf>
    <xf numFmtId="7" fontId="11" fillId="0" borderId="38" xfId="4" applyNumberFormat="1" applyFont="1" applyBorder="1" applyAlignment="1" applyProtection="1">
      <alignment horizontal="center"/>
    </xf>
    <xf numFmtId="6" fontId="17" fillId="0" borderId="34" xfId="4" applyNumberFormat="1" applyFont="1" applyBorder="1" applyProtection="1"/>
    <xf numFmtId="6" fontId="17" fillId="0" borderId="26" xfId="4" applyNumberFormat="1" applyFont="1" applyBorder="1" applyProtection="1"/>
    <xf numFmtId="6" fontId="11" fillId="0" borderId="27" xfId="4" applyNumberFormat="1" applyFont="1" applyBorder="1" applyProtection="1"/>
    <xf numFmtId="0" fontId="27" fillId="5" borderId="0" xfId="0" applyFont="1" applyFill="1"/>
    <xf numFmtId="0" fontId="27" fillId="2" borderId="0" xfId="0" applyFont="1" applyFill="1"/>
    <xf numFmtId="0" fontId="27" fillId="2" borderId="2" xfId="0" applyFont="1" applyFill="1" applyBorder="1"/>
    <xf numFmtId="3" fontId="27" fillId="2" borderId="2" xfId="0" applyNumberFormat="1" applyFont="1" applyFill="1" applyBorder="1"/>
    <xf numFmtId="0" fontId="27" fillId="5" borderId="0" xfId="0" applyFont="1" applyFill="1" applyAlignment="1">
      <alignment horizontal="left"/>
    </xf>
    <xf numFmtId="0" fontId="32" fillId="5" borderId="0" xfId="0" applyFont="1" applyFill="1" applyAlignment="1">
      <alignment horizontal="left" vertical="center"/>
    </xf>
    <xf numFmtId="0" fontId="27" fillId="5" borderId="2" xfId="0" applyFont="1" applyFill="1" applyBorder="1" applyAlignment="1">
      <alignment horizontal="left"/>
    </xf>
    <xf numFmtId="166" fontId="27" fillId="2" borderId="0" xfId="0" applyNumberFormat="1" applyFont="1" applyFill="1" applyProtection="1">
      <protection locked="0"/>
    </xf>
    <xf numFmtId="0" fontId="17" fillId="0" borderId="0" xfId="0" applyFont="1" applyAlignment="1">
      <alignment horizontal="right"/>
    </xf>
    <xf numFmtId="164" fontId="27" fillId="2" borderId="0" xfId="4" applyNumberFormat="1" applyFont="1" applyFill="1" applyAlignment="1" applyProtection="1">
      <alignment horizontal="right"/>
      <protection locked="0"/>
    </xf>
    <xf numFmtId="164" fontId="27" fillId="0" borderId="0" xfId="4" applyNumberFormat="1" applyFont="1"/>
    <xf numFmtId="164" fontId="27" fillId="0" borderId="11" xfId="4" applyNumberFormat="1" applyFont="1" applyBorder="1"/>
    <xf numFmtId="166" fontId="27" fillId="2" borderId="2" xfId="0" applyNumberFormat="1" applyFont="1" applyFill="1" applyBorder="1" applyProtection="1">
      <protection locked="0"/>
    </xf>
    <xf numFmtId="164" fontId="27" fillId="0" borderId="2" xfId="4" applyNumberFormat="1" applyFont="1" applyBorder="1"/>
    <xf numFmtId="164" fontId="27" fillId="0" borderId="0" xfId="0" applyNumberFormat="1" applyFont="1"/>
    <xf numFmtId="164" fontId="27" fillId="0" borderId="11" xfId="0" applyNumberFormat="1" applyFont="1" applyBorder="1"/>
    <xf numFmtId="164" fontId="0" fillId="0" borderId="0" xfId="4" applyNumberFormat="1" applyFont="1"/>
    <xf numFmtId="164" fontId="23" fillId="0" borderId="0" xfId="4" applyNumberFormat="1" applyFont="1" applyAlignment="1">
      <alignment horizontal="right"/>
    </xf>
    <xf numFmtId="164" fontId="31" fillId="0" borderId="0" xfId="4" applyNumberFormat="1" applyFont="1" applyAlignment="1">
      <alignment horizontal="right"/>
    </xf>
    <xf numFmtId="164" fontId="31" fillId="0" borderId="2" xfId="4" applyNumberFormat="1" applyFont="1" applyBorder="1" applyAlignment="1">
      <alignment horizontal="right"/>
    </xf>
    <xf numFmtId="164" fontId="23" fillId="0" borderId="0" xfId="0" applyNumberFormat="1" applyFont="1"/>
    <xf numFmtId="0" fontId="17" fillId="0" borderId="2" xfId="0" applyFont="1" applyBorder="1" applyAlignment="1">
      <alignment horizontal="center" wrapText="1"/>
    </xf>
    <xf numFmtId="164" fontId="11" fillId="0" borderId="0" xfId="4" applyNumberFormat="1" applyFont="1" applyFill="1" applyProtection="1">
      <protection locked="0"/>
    </xf>
    <xf numFmtId="166" fontId="11" fillId="0" borderId="0" xfId="0" applyNumberFormat="1" applyFont="1" applyProtection="1">
      <protection locked="0"/>
    </xf>
    <xf numFmtId="165" fontId="11" fillId="0" borderId="0" xfId="0" applyNumberFormat="1" applyFont="1" applyProtection="1">
      <protection locked="0"/>
    </xf>
    <xf numFmtId="164" fontId="11" fillId="2" borderId="0" xfId="4" applyNumberFormat="1" applyFont="1" applyFill="1" applyProtection="1"/>
    <xf numFmtId="0" fontId="11" fillId="2" borderId="0" xfId="0" applyFont="1" applyFill="1"/>
    <xf numFmtId="165" fontId="11" fillId="2" borderId="0" xfId="0" applyNumberFormat="1" applyFont="1" applyFill="1"/>
    <xf numFmtId="0" fontId="23" fillId="2" borderId="0" xfId="0" applyFont="1" applyFill="1" applyAlignment="1">
      <alignment horizontal="left"/>
    </xf>
    <xf numFmtId="0" fontId="32" fillId="2" borderId="0" xfId="0" applyFont="1" applyFill="1" applyAlignment="1">
      <alignment horizontal="left" vertical="center"/>
    </xf>
    <xf numFmtId="165" fontId="31" fillId="2" borderId="0" xfId="0" applyNumberFormat="1" applyFont="1" applyFill="1" applyAlignment="1">
      <alignment horizontal="right"/>
    </xf>
    <xf numFmtId="164" fontId="31" fillId="2" borderId="0" xfId="4" applyNumberFormat="1" applyFont="1" applyFill="1" applyAlignment="1" applyProtection="1">
      <alignment horizontal="right"/>
    </xf>
    <xf numFmtId="164" fontId="40" fillId="2" borderId="0" xfId="4" applyNumberFormat="1" applyFont="1" applyFill="1" applyAlignment="1" applyProtection="1">
      <alignment horizontal="right"/>
    </xf>
    <xf numFmtId="165" fontId="31" fillId="2" borderId="2" xfId="0" applyNumberFormat="1" applyFont="1" applyFill="1" applyBorder="1" applyAlignment="1">
      <alignment horizontal="right"/>
    </xf>
    <xf numFmtId="164" fontId="31" fillId="2" borderId="2" xfId="4" applyNumberFormat="1" applyFont="1" applyFill="1" applyBorder="1" applyAlignment="1" applyProtection="1">
      <alignment horizontal="right"/>
    </xf>
    <xf numFmtId="3" fontId="11" fillId="2" borderId="1" xfId="0" applyNumberFormat="1" applyFont="1" applyFill="1" applyBorder="1"/>
    <xf numFmtId="166" fontId="11" fillId="2" borderId="0" xfId="0" applyNumberFormat="1" applyFont="1" applyFill="1"/>
    <xf numFmtId="166" fontId="17" fillId="2" borderId="0" xfId="0" applyNumberFormat="1" applyFont="1" applyFill="1"/>
    <xf numFmtId="164" fontId="27" fillId="2" borderId="0" xfId="4" applyNumberFormat="1" applyFont="1" applyFill="1" applyBorder="1" applyAlignment="1" applyProtection="1">
      <alignment horizontal="right"/>
    </xf>
    <xf numFmtId="165" fontId="46" fillId="2" borderId="0" xfId="0" applyNumberFormat="1" applyFont="1" applyFill="1"/>
    <xf numFmtId="0" fontId="3" fillId="0" borderId="29" xfId="0" applyFont="1" applyBorder="1" applyAlignment="1">
      <alignment wrapText="1"/>
    </xf>
    <xf numFmtId="166" fontId="11" fillId="5" borderId="0" xfId="0" applyNumberFormat="1" applyFont="1" applyFill="1" applyProtection="1">
      <protection locked="0"/>
    </xf>
    <xf numFmtId="7" fontId="11" fillId="2" borderId="18" xfId="4" applyNumberFormat="1" applyFont="1" applyFill="1" applyBorder="1" applyAlignment="1" applyProtection="1">
      <alignment horizontal="center" vertical="center"/>
    </xf>
    <xf numFmtId="6" fontId="17" fillId="0" borderId="12" xfId="4" applyNumberFormat="1" applyFont="1" applyBorder="1" applyAlignment="1" applyProtection="1">
      <alignment vertical="center"/>
    </xf>
    <xf numFmtId="6" fontId="17" fillId="0" borderId="0" xfId="4" applyNumberFormat="1" applyFont="1" applyBorder="1" applyAlignment="1" applyProtection="1">
      <alignment vertical="center"/>
    </xf>
    <xf numFmtId="6" fontId="11" fillId="0" borderId="0" xfId="4" applyNumberFormat="1" applyFont="1" applyBorder="1" applyAlignment="1" applyProtection="1">
      <alignment vertical="center"/>
    </xf>
    <xf numFmtId="6" fontId="11" fillId="0" borderId="17" xfId="4" applyNumberFormat="1" applyFont="1" applyBorder="1" applyAlignment="1" applyProtection="1">
      <alignment vertical="center"/>
    </xf>
    <xf numFmtId="6" fontId="11" fillId="0" borderId="24" xfId="4" applyNumberFormat="1" applyFont="1" applyBorder="1" applyAlignment="1" applyProtection="1">
      <alignment vertical="center"/>
    </xf>
    <xf numFmtId="0" fontId="0" fillId="5" borderId="21" xfId="0" applyFill="1" applyBorder="1"/>
    <xf numFmtId="0" fontId="0" fillId="2" borderId="21" xfId="0" applyFill="1" applyBorder="1"/>
    <xf numFmtId="0" fontId="11" fillId="5" borderId="19" xfId="0" applyFont="1" applyFill="1" applyBorder="1" applyAlignment="1">
      <alignment horizontal="left"/>
    </xf>
    <xf numFmtId="0" fontId="11" fillId="5" borderId="1" xfId="0" applyFont="1" applyFill="1" applyBorder="1" applyAlignment="1">
      <alignment horizontal="left"/>
    </xf>
    <xf numFmtId="0" fontId="11" fillId="5" borderId="39" xfId="0" applyFont="1" applyFill="1" applyBorder="1" applyAlignment="1">
      <alignment horizontal="left"/>
    </xf>
    <xf numFmtId="0" fontId="11" fillId="5" borderId="21" xfId="0" applyFont="1" applyFill="1" applyBorder="1"/>
    <xf numFmtId="168" fontId="0" fillId="0" borderId="0" xfId="0" applyNumberFormat="1"/>
    <xf numFmtId="0" fontId="0" fillId="0" borderId="25" xfId="0" applyBorder="1"/>
    <xf numFmtId="9" fontId="11" fillId="5" borderId="0" xfId="1" applyFont="1" applyFill="1" applyProtection="1">
      <protection locked="0"/>
    </xf>
    <xf numFmtId="0" fontId="11" fillId="5" borderId="0" xfId="0" applyFont="1" applyFill="1" applyAlignment="1">
      <alignment wrapText="1"/>
    </xf>
    <xf numFmtId="0" fontId="48" fillId="5" borderId="0" xfId="0" applyFont="1" applyFill="1" applyAlignment="1">
      <alignment horizontal="center" vertical="center" textRotation="90" wrapText="1"/>
    </xf>
    <xf numFmtId="2" fontId="11" fillId="5" borderId="0" xfId="0" applyNumberFormat="1" applyFont="1" applyFill="1" applyAlignment="1">
      <alignment horizontal="left"/>
    </xf>
    <xf numFmtId="6" fontId="11" fillId="5" borderId="0" xfId="4" applyNumberFormat="1" applyFont="1" applyFill="1" applyBorder="1" applyProtection="1"/>
    <xf numFmtId="6" fontId="17" fillId="5" borderId="0" xfId="4" applyNumberFormat="1" applyFont="1" applyFill="1" applyBorder="1" applyProtection="1"/>
    <xf numFmtId="44" fontId="0" fillId="5" borderId="21" xfId="0" applyNumberFormat="1" applyFill="1" applyBorder="1"/>
    <xf numFmtId="165" fontId="17" fillId="2" borderId="0" xfId="0" applyNumberFormat="1" applyFont="1" applyFill="1"/>
    <xf numFmtId="9" fontId="0" fillId="2" borderId="21" xfId="0" applyNumberFormat="1" applyFill="1" applyBorder="1"/>
    <xf numFmtId="3" fontId="11" fillId="2" borderId="0" xfId="0" applyNumberFormat="1" applyFont="1" applyFill="1" applyProtection="1">
      <protection locked="0"/>
    </xf>
    <xf numFmtId="3" fontId="11" fillId="5" borderId="0" xfId="0" applyNumberFormat="1" applyFont="1" applyFill="1" applyProtection="1">
      <protection locked="0"/>
    </xf>
    <xf numFmtId="3" fontId="11" fillId="0" borderId="0" xfId="0" applyNumberFormat="1" applyFont="1" applyProtection="1">
      <protection locked="0"/>
    </xf>
    <xf numFmtId="3" fontId="46" fillId="2" borderId="0" xfId="0" applyNumberFormat="1" applyFont="1" applyFill="1"/>
    <xf numFmtId="3" fontId="11" fillId="2" borderId="0" xfId="0" applyNumberFormat="1" applyFont="1" applyFill="1"/>
    <xf numFmtId="3" fontId="17" fillId="2" borderId="0" xfId="0" applyNumberFormat="1" applyFont="1" applyFill="1"/>
    <xf numFmtId="3" fontId="15" fillId="0" borderId="1" xfId="0" applyNumberFormat="1" applyFont="1" applyBorder="1" applyAlignment="1">
      <alignment horizontal="center" wrapText="1"/>
    </xf>
    <xf numFmtId="3" fontId="17" fillId="0" borderId="0" xfId="0" applyNumberFormat="1" applyFont="1" applyAlignment="1">
      <alignment horizontal="center" wrapText="1"/>
    </xf>
    <xf numFmtId="3" fontId="17" fillId="0" borderId="0" xfId="0" applyNumberFormat="1" applyFont="1" applyAlignment="1">
      <alignment horizontal="right" wrapText="1"/>
    </xf>
    <xf numFmtId="169" fontId="11" fillId="0" borderId="0" xfId="0" applyNumberFormat="1" applyFont="1"/>
    <xf numFmtId="169" fontId="11" fillId="0" borderId="2" xfId="0" applyNumberFormat="1" applyFont="1" applyBorder="1"/>
    <xf numFmtId="169" fontId="15" fillId="0" borderId="1" xfId="0" applyNumberFormat="1" applyFont="1" applyBorder="1" applyAlignment="1">
      <alignment horizontal="center" wrapText="1"/>
    </xf>
    <xf numFmtId="169" fontId="17" fillId="0" borderId="0" xfId="4" applyNumberFormat="1" applyFont="1" applyAlignment="1">
      <alignment horizontal="right" wrapText="1"/>
    </xf>
    <xf numFmtId="169" fontId="11" fillId="0" borderId="3" xfId="0" applyNumberFormat="1" applyFont="1" applyBorder="1"/>
    <xf numFmtId="1" fontId="11" fillId="2" borderId="0" xfId="0" applyNumberFormat="1" applyFont="1" applyFill="1" applyProtection="1">
      <protection locked="0"/>
    </xf>
    <xf numFmtId="1" fontId="11" fillId="0" borderId="0" xfId="0" applyNumberFormat="1" applyFont="1"/>
    <xf numFmtId="1" fontId="15" fillId="0" borderId="1" xfId="0" applyNumberFormat="1" applyFont="1" applyBorder="1" applyAlignment="1">
      <alignment horizontal="center" wrapText="1"/>
    </xf>
    <xf numFmtId="1" fontId="17" fillId="0" borderId="0" xfId="0" applyNumberFormat="1" applyFont="1" applyAlignment="1">
      <alignment horizontal="right" wrapText="1"/>
    </xf>
    <xf numFmtId="169" fontId="17" fillId="0" borderId="0" xfId="4" applyNumberFormat="1" applyFont="1" applyFill="1" applyAlignment="1">
      <alignment horizontal="right" wrapText="1"/>
    </xf>
    <xf numFmtId="169" fontId="17" fillId="0" borderId="0" xfId="0" applyNumberFormat="1" applyFont="1" applyAlignment="1">
      <alignment horizontal="right" wrapText="1"/>
    </xf>
    <xf numFmtId="0" fontId="15" fillId="0" borderId="0" xfId="0" applyFont="1" applyAlignment="1">
      <alignment wrapText="1"/>
    </xf>
    <xf numFmtId="0" fontId="46" fillId="0" borderId="0" xfId="0" applyFont="1"/>
    <xf numFmtId="0" fontId="32" fillId="0" borderId="0" xfId="0" applyFont="1" applyAlignment="1">
      <alignment horizontal="left"/>
    </xf>
    <xf numFmtId="169" fontId="11" fillId="0" borderId="1" xfId="0" applyNumberFormat="1" applyFont="1" applyBorder="1"/>
    <xf numFmtId="0" fontId="27" fillId="7" borderId="0" xfId="0" applyFont="1" applyFill="1" applyAlignment="1">
      <alignment horizontal="right"/>
    </xf>
    <xf numFmtId="3" fontId="32" fillId="0" borderId="0" xfId="0" applyNumberFormat="1" applyFont="1"/>
    <xf numFmtId="169" fontId="11" fillId="0" borderId="11" xfId="0" applyNumberFormat="1" applyFont="1" applyBorder="1"/>
    <xf numFmtId="169" fontId="11" fillId="2" borderId="0" xfId="0" applyNumberFormat="1" applyFont="1" applyFill="1" applyProtection="1">
      <protection locked="0"/>
    </xf>
    <xf numFmtId="0" fontId="32" fillId="2" borderId="2" xfId="0" applyFont="1" applyFill="1" applyBorder="1" applyProtection="1">
      <protection locked="0"/>
    </xf>
    <xf numFmtId="169" fontId="17" fillId="0" borderId="0" xfId="0" applyNumberFormat="1" applyFont="1" applyAlignment="1">
      <alignment horizontal="right"/>
    </xf>
    <xf numFmtId="164" fontId="11" fillId="5" borderId="0" xfId="4" applyNumberFormat="1" applyFont="1" applyFill="1" applyProtection="1">
      <protection locked="0"/>
    </xf>
    <xf numFmtId="169" fontId="11" fillId="5" borderId="0" xfId="0" applyNumberFormat="1" applyFont="1" applyFill="1"/>
    <xf numFmtId="165" fontId="11" fillId="5" borderId="0" xfId="0" applyNumberFormat="1" applyFont="1" applyFill="1" applyProtection="1">
      <protection locked="0"/>
    </xf>
    <xf numFmtId="0" fontId="15" fillId="0" borderId="1" xfId="0" applyFont="1" applyBorder="1" applyAlignment="1">
      <alignment wrapText="1"/>
    </xf>
    <xf numFmtId="164" fontId="32" fillId="2" borderId="0" xfId="4" applyNumberFormat="1" applyFont="1" applyFill="1" applyAlignment="1" applyProtection="1">
      <alignment horizontal="center" wrapText="1"/>
    </xf>
    <xf numFmtId="164" fontId="27" fillId="2" borderId="2" xfId="4" applyNumberFormat="1" applyFont="1" applyFill="1" applyBorder="1" applyAlignment="1" applyProtection="1">
      <alignment horizontal="right"/>
      <protection locked="0"/>
    </xf>
    <xf numFmtId="166" fontId="32" fillId="2" borderId="0" xfId="0" applyNumberFormat="1" applyFont="1" applyFill="1" applyAlignment="1">
      <alignment wrapText="1"/>
    </xf>
    <xf numFmtId="164" fontId="27" fillId="0" borderId="0" xfId="4" applyNumberFormat="1" applyFont="1" applyAlignment="1">
      <alignment horizontal="right"/>
    </xf>
    <xf numFmtId="164" fontId="32" fillId="0" borderId="0" xfId="4" applyNumberFormat="1" applyFont="1" applyAlignment="1">
      <alignment horizontal="right" wrapText="1"/>
    </xf>
    <xf numFmtId="164" fontId="27" fillId="0" borderId="2" xfId="4" applyNumberFormat="1" applyFont="1" applyBorder="1" applyAlignment="1">
      <alignment horizontal="right"/>
    </xf>
    <xf numFmtId="168" fontId="40" fillId="0" borderId="0" xfId="0" applyNumberFormat="1" applyFont="1"/>
    <xf numFmtId="2" fontId="27" fillId="0" borderId="0" xfId="0" applyNumberFormat="1" applyFont="1" applyAlignment="1">
      <alignment horizontal="right"/>
    </xf>
    <xf numFmtId="2" fontId="27" fillId="0" borderId="2" xfId="0" applyNumberFormat="1" applyFont="1" applyBorder="1" applyAlignment="1">
      <alignment horizontal="right"/>
    </xf>
    <xf numFmtId="0" fontId="32" fillId="0" borderId="0" xfId="0" applyFont="1"/>
    <xf numFmtId="2" fontId="32" fillId="0" borderId="0" xfId="0" applyNumberFormat="1" applyFont="1"/>
    <xf numFmtId="169" fontId="17" fillId="5" borderId="0" xfId="0" applyNumberFormat="1" applyFont="1" applyFill="1"/>
    <xf numFmtId="0" fontId="0" fillId="5" borderId="0" xfId="0" applyFill="1" applyAlignment="1">
      <alignment vertical="top"/>
    </xf>
    <xf numFmtId="1" fontId="11" fillId="2" borderId="0" xfId="0" applyNumberFormat="1" applyFont="1" applyFill="1"/>
    <xf numFmtId="164" fontId="11" fillId="2" borderId="0" xfId="1" applyNumberFormat="1" applyFont="1" applyFill="1" applyProtection="1">
      <protection locked="0"/>
    </xf>
    <xf numFmtId="44" fontId="17" fillId="5" borderId="0" xfId="0" applyNumberFormat="1" applyFont="1" applyFill="1" applyAlignment="1">
      <alignment horizontal="center" wrapText="1"/>
    </xf>
    <xf numFmtId="44" fontId="15" fillId="5" borderId="0" xfId="0" applyNumberFormat="1" applyFont="1" applyFill="1" applyAlignment="1">
      <alignment horizontal="center" wrapText="1"/>
    </xf>
    <xf numFmtId="0" fontId="0" fillId="2" borderId="0" xfId="0" applyFill="1"/>
    <xf numFmtId="2" fontId="0" fillId="2" borderId="0" xfId="0" applyNumberFormat="1" applyFill="1"/>
    <xf numFmtId="0" fontId="0" fillId="2" borderId="26" xfId="0" applyFill="1" applyBorder="1"/>
    <xf numFmtId="1" fontId="17" fillId="2" borderId="0" xfId="0" applyNumberFormat="1" applyFont="1" applyFill="1"/>
    <xf numFmtId="0" fontId="4" fillId="0" borderId="3" xfId="0" applyFont="1" applyBorder="1"/>
    <xf numFmtId="0" fontId="11" fillId="5" borderId="19" xfId="0" applyFont="1" applyFill="1" applyBorder="1"/>
    <xf numFmtId="0" fontId="11" fillId="5" borderId="1" xfId="0" applyFont="1" applyFill="1" applyBorder="1"/>
    <xf numFmtId="0" fontId="11" fillId="5" borderId="39" xfId="0" applyFont="1" applyFill="1" applyBorder="1"/>
    <xf numFmtId="0" fontId="15" fillId="0" borderId="41" xfId="0" applyFont="1" applyBorder="1"/>
    <xf numFmtId="0" fontId="51" fillId="0" borderId="41" xfId="0" applyFont="1" applyBorder="1"/>
    <xf numFmtId="0" fontId="17" fillId="0" borderId="41" xfId="0" applyFont="1" applyBorder="1"/>
    <xf numFmtId="164" fontId="17" fillId="0" borderId="41" xfId="4" applyNumberFormat="1" applyFont="1" applyBorder="1"/>
    <xf numFmtId="164" fontId="17" fillId="0" borderId="41" xfId="0" applyNumberFormat="1" applyFont="1" applyBorder="1"/>
    <xf numFmtId="0" fontId="0" fillId="0" borderId="0" xfId="0" applyAlignment="1">
      <alignment horizontal="center"/>
    </xf>
    <xf numFmtId="0" fontId="0" fillId="0" borderId="0" xfId="0" applyAlignment="1">
      <alignment wrapText="1"/>
    </xf>
    <xf numFmtId="1" fontId="0" fillId="0" borderId="11" xfId="0" applyNumberFormat="1" applyBorder="1"/>
    <xf numFmtId="1" fontId="0" fillId="0" borderId="0" xfId="0" applyNumberFormat="1"/>
    <xf numFmtId="0" fontId="0" fillId="2" borderId="11" xfId="0" applyFill="1" applyBorder="1"/>
    <xf numFmtId="165" fontId="0" fillId="0" borderId="11" xfId="0" applyNumberFormat="1" applyBorder="1"/>
    <xf numFmtId="0" fontId="0" fillId="0" borderId="3" xfId="0" applyBorder="1"/>
    <xf numFmtId="165" fontId="0" fillId="0" borderId="3" xfId="0" applyNumberFormat="1" applyBorder="1"/>
    <xf numFmtId="1" fontId="0" fillId="2" borderId="0" xfId="0" applyNumberFormat="1" applyFill="1"/>
    <xf numFmtId="0" fontId="0" fillId="2" borderId="0" xfId="0" applyFill="1" applyAlignment="1">
      <alignment vertical="center"/>
    </xf>
    <xf numFmtId="0" fontId="15" fillId="5" borderId="0" xfId="0" applyFont="1" applyFill="1"/>
    <xf numFmtId="1" fontId="0" fillId="0" borderId="0" xfId="0" applyNumberFormat="1" applyAlignment="1">
      <alignment vertical="center"/>
    </xf>
    <xf numFmtId="165" fontId="0" fillId="0" borderId="0" xfId="0" applyNumberFormat="1"/>
    <xf numFmtId="165" fontId="0" fillId="0" borderId="2" xfId="0" applyNumberFormat="1" applyBorder="1"/>
    <xf numFmtId="166" fontId="11" fillId="5" borderId="0" xfId="0" applyNumberFormat="1" applyFont="1" applyFill="1"/>
    <xf numFmtId="0" fontId="10" fillId="3" borderId="5" xfId="0" applyFont="1" applyFill="1" applyBorder="1"/>
    <xf numFmtId="0" fontId="10" fillId="3" borderId="6" xfId="0" applyFont="1" applyFill="1" applyBorder="1"/>
    <xf numFmtId="0" fontId="20" fillId="3" borderId="5" xfId="3" applyFont="1" applyFill="1" applyBorder="1" applyAlignment="1">
      <alignment horizontal="center"/>
    </xf>
    <xf numFmtId="0" fontId="20" fillId="3" borderId="6" xfId="3" applyFont="1" applyFill="1" applyBorder="1" applyAlignment="1">
      <alignment horizontal="center"/>
    </xf>
    <xf numFmtId="0" fontId="20" fillId="3" borderId="7" xfId="3" applyFont="1" applyFill="1" applyBorder="1" applyAlignment="1">
      <alignment horizontal="center"/>
    </xf>
    <xf numFmtId="0" fontId="11" fillId="5" borderId="0" xfId="0" applyFont="1" applyFill="1" applyAlignment="1">
      <alignment horizontal="right"/>
    </xf>
    <xf numFmtId="0" fontId="0" fillId="5" borderId="0" xfId="0" applyFill="1"/>
    <xf numFmtId="0" fontId="17" fillId="5" borderId="0" xfId="0" applyFont="1" applyFill="1" applyAlignment="1">
      <alignment horizontal="left" vertical="top" wrapText="1"/>
    </xf>
    <xf numFmtId="0" fontId="13" fillId="4" borderId="8" xfId="2" applyFont="1" applyBorder="1" applyAlignment="1">
      <alignment horizontal="center" wrapText="1"/>
    </xf>
    <xf numFmtId="0" fontId="13" fillId="4" borderId="9" xfId="2" applyFont="1" applyBorder="1" applyAlignment="1">
      <alignment horizontal="center" wrapText="1"/>
    </xf>
    <xf numFmtId="0" fontId="13" fillId="4" borderId="10" xfId="2" applyFont="1" applyBorder="1" applyAlignment="1">
      <alignment horizontal="center" wrapText="1"/>
    </xf>
    <xf numFmtId="0" fontId="11" fillId="5" borderId="0" xfId="0" applyFont="1" applyFill="1" applyAlignment="1">
      <alignment horizontal="left" vertical="top" wrapText="1"/>
    </xf>
    <xf numFmtId="0" fontId="9" fillId="5" borderId="0" xfId="0" applyFont="1" applyFill="1" applyAlignment="1">
      <alignment horizontal="center"/>
    </xf>
    <xf numFmtId="0" fontId="17" fillId="0" borderId="2" xfId="0" applyFont="1" applyBorder="1" applyAlignment="1">
      <alignment horizontal="center" wrapText="1"/>
    </xf>
    <xf numFmtId="0" fontId="19" fillId="3" borderId="19" xfId="0" applyFont="1" applyFill="1" applyBorder="1" applyAlignment="1">
      <alignment horizontal="center" wrapText="1"/>
    </xf>
    <xf numFmtId="0" fontId="19" fillId="3" borderId="1" xfId="0" applyFont="1" applyFill="1" applyBorder="1" applyAlignment="1">
      <alignment horizontal="center" wrapText="1"/>
    </xf>
    <xf numFmtId="0" fontId="52" fillId="3" borderId="0" xfId="0" applyFont="1" applyFill="1" applyAlignment="1">
      <alignment horizontal="center"/>
    </xf>
    <xf numFmtId="0" fontId="47" fillId="3" borderId="2" xfId="0" applyFont="1" applyFill="1" applyBorder="1" applyAlignment="1">
      <alignment horizontal="center"/>
    </xf>
    <xf numFmtId="0" fontId="48" fillId="3" borderId="15" xfId="0" applyFont="1" applyFill="1" applyBorder="1" applyAlignment="1">
      <alignment horizontal="center" vertical="center" textRotation="90" wrapText="1"/>
    </xf>
    <xf numFmtId="0" fontId="48" fillId="3" borderId="24" xfId="0" applyFont="1" applyFill="1" applyBorder="1" applyAlignment="1">
      <alignment horizontal="center" vertical="center" textRotation="90" wrapText="1"/>
    </xf>
    <xf numFmtId="0" fontId="48" fillId="3" borderId="25" xfId="0" applyFont="1" applyFill="1" applyBorder="1" applyAlignment="1">
      <alignment horizontal="center" vertical="center" textRotation="90" wrapText="1"/>
    </xf>
    <xf numFmtId="0" fontId="48" fillId="3" borderId="27" xfId="0" applyFont="1" applyFill="1" applyBorder="1" applyAlignment="1">
      <alignment horizontal="center" vertical="center" textRotation="90" wrapText="1"/>
    </xf>
    <xf numFmtId="0" fontId="48" fillId="3" borderId="22" xfId="0" applyFont="1" applyFill="1" applyBorder="1" applyAlignment="1">
      <alignment horizontal="left"/>
    </xf>
    <xf numFmtId="0" fontId="48" fillId="3" borderId="23" xfId="0" applyFont="1" applyFill="1" applyBorder="1" applyAlignment="1">
      <alignment horizontal="left"/>
    </xf>
    <xf numFmtId="0" fontId="48" fillId="3" borderId="40" xfId="0" applyFont="1" applyFill="1" applyBorder="1" applyAlignment="1">
      <alignment horizontal="left"/>
    </xf>
    <xf numFmtId="0" fontId="4" fillId="5" borderId="0" xfId="0" applyFont="1" applyFill="1" applyAlignment="1">
      <alignment horizontal="center"/>
    </xf>
    <xf numFmtId="0" fontId="11" fillId="5" borderId="0" xfId="0" applyFont="1" applyFill="1" applyAlignment="1">
      <alignment horizontal="left" wrapText="1"/>
    </xf>
    <xf numFmtId="0" fontId="48" fillId="3" borderId="29" xfId="0" applyFont="1" applyFill="1" applyBorder="1" applyAlignment="1">
      <alignment horizontal="center"/>
    </xf>
    <xf numFmtId="0" fontId="48" fillId="3" borderId="30" xfId="0" applyFont="1" applyFill="1" applyBorder="1" applyAlignment="1">
      <alignment horizontal="center"/>
    </xf>
    <xf numFmtId="0" fontId="11" fillId="5" borderId="0" xfId="0" applyFont="1" applyFill="1" applyAlignment="1">
      <alignment horizontal="left"/>
    </xf>
    <xf numFmtId="0" fontId="48" fillId="3" borderId="36" xfId="0" applyFont="1" applyFill="1" applyBorder="1" applyAlignment="1">
      <alignment horizontal="center" vertical="center" textRotation="90"/>
    </xf>
    <xf numFmtId="0" fontId="48" fillId="3" borderId="37" xfId="0" applyFont="1" applyFill="1" applyBorder="1" applyAlignment="1">
      <alignment horizontal="center" vertical="center" textRotation="90"/>
    </xf>
    <xf numFmtId="0" fontId="48" fillId="3" borderId="28" xfId="0" applyFont="1" applyFill="1" applyBorder="1" applyAlignment="1">
      <alignment horizontal="center"/>
    </xf>
    <xf numFmtId="0" fontId="53" fillId="5" borderId="0" xfId="5" applyFont="1" applyFill="1"/>
  </cellXfs>
  <cellStyles count="6">
    <cellStyle name="Currency" xfId="4" builtinId="4"/>
    <cellStyle name="Hyperlink" xfId="5" builtinId="8"/>
    <cellStyle name="Normal" xfId="0" builtinId="0"/>
    <cellStyle name="Normal 2 2" xfId="3" xr:uid="{B82EEC54-C959-4263-882E-61D78481713D}"/>
    <cellStyle name="Output" xfId="2" builtinId="21"/>
    <cellStyle name="Percent" xfId="1" builtinId="5"/>
  </cellStyles>
  <dxfs count="2">
    <dxf>
      <font>
        <color rgb="FFFF0000"/>
      </font>
    </dxf>
    <dxf>
      <font>
        <color rgb="FFFF0000"/>
      </font>
    </dxf>
  </dxfs>
  <tableStyles count="0" defaultTableStyle="TableStyleMedium2" defaultPivotStyle="PivotStyleLight16"/>
  <colors>
    <mruColors>
      <color rgb="FFE7E6E6"/>
      <color rgb="FFFDB71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1.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hartsheet" Target="chartsheets/sheet2.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r>
              <a:rPr lang="en-US"/>
              <a:t>MO U-pick</a:t>
            </a:r>
            <a:r>
              <a:rPr lang="en-US" baseline="0"/>
              <a:t> Blueberry Orchard </a:t>
            </a:r>
            <a:r>
              <a:rPr lang="en-US"/>
              <a:t>Avg Yield</a:t>
            </a:r>
            <a:r>
              <a:rPr lang="en-US" baseline="0"/>
              <a:t> in</a:t>
            </a:r>
            <a:r>
              <a:rPr lang="en-US"/>
              <a:t> Pounds/Plant Year 1-16</a:t>
            </a:r>
          </a:p>
        </c:rich>
      </c:tx>
      <c:overlay val="0"/>
      <c:spPr>
        <a:no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'Financial Sensitivity'!$N$9</c:f>
              <c:strCache>
                <c:ptCount val="1"/>
                <c:pt idx="0">
                  <c:v>Avg Yield Pds/Plant</c:v>
                </c:pt>
              </c:strCache>
            </c:strRef>
          </c:tx>
          <c:spPr>
            <a:ln w="28575" cap="rnd">
              <a:solidFill>
                <a:schemeClr val="accent1"/>
              </a:solidFill>
              <a:round/>
            </a:ln>
            <a:effectLst/>
          </c:spPr>
          <c:marker>
            <c:symbol val="none"/>
          </c:marker>
          <c:dLbls>
            <c:numFmt formatCode="#,##0.0" sourceLinked="0"/>
            <c:spPr>
              <a:noFill/>
              <a:ln>
                <a:noFill/>
              </a:ln>
              <a:effectLst/>
            </c:spPr>
            <c:txPr>
              <a:bodyPr rot="0" spcFirstLastPara="1" vertOverflow="ellipsis" vert="horz" wrap="square" anchor="ctr" anchorCtr="1"/>
              <a:lstStyle/>
              <a:p>
                <a:pPr>
                  <a:defRPr sz="2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'Financial Sensitivity'!$M$10:$M$25</c:f>
              <c:numCache>
                <c:formatCode>General</c:formatCode>
                <c:ptCount val="16"/>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numCache>
            </c:numRef>
          </c:cat>
          <c:val>
            <c:numRef>
              <c:f>'Financial Sensitivity'!$N$10:$N$25</c:f>
              <c:numCache>
                <c:formatCode>General</c:formatCode>
                <c:ptCount val="16"/>
                <c:pt idx="0">
                  <c:v>0</c:v>
                </c:pt>
                <c:pt idx="1">
                  <c:v>0</c:v>
                </c:pt>
                <c:pt idx="2" formatCode="0.00">
                  <c:v>0.95899999999999996</c:v>
                </c:pt>
                <c:pt idx="3" formatCode="0.00">
                  <c:v>2.0230000000000001</c:v>
                </c:pt>
                <c:pt idx="4" formatCode="0.00">
                  <c:v>4.6129999999999995</c:v>
                </c:pt>
                <c:pt idx="5" formatCode="0.00">
                  <c:v>5.7749999999999995</c:v>
                </c:pt>
                <c:pt idx="6" formatCode="0.00">
                  <c:v>6.7</c:v>
                </c:pt>
                <c:pt idx="7">
                  <c:v>7.63</c:v>
                </c:pt>
                <c:pt idx="8">
                  <c:v>7.63</c:v>
                </c:pt>
                <c:pt idx="9">
                  <c:v>7.63</c:v>
                </c:pt>
                <c:pt idx="10">
                  <c:v>7.63</c:v>
                </c:pt>
                <c:pt idx="11">
                  <c:v>7.63</c:v>
                </c:pt>
                <c:pt idx="12">
                  <c:v>7.63</c:v>
                </c:pt>
                <c:pt idx="13">
                  <c:v>6.93</c:v>
                </c:pt>
                <c:pt idx="14">
                  <c:v>6.2299999999999995</c:v>
                </c:pt>
                <c:pt idx="15">
                  <c:v>5.53</c:v>
                </c:pt>
              </c:numCache>
            </c:numRef>
          </c:val>
          <c:smooth val="0"/>
          <c:extLst>
            <c:ext xmlns:c16="http://schemas.microsoft.com/office/drawing/2014/chart" uri="{C3380CC4-5D6E-409C-BE32-E72D297353CC}">
              <c16:uniqueId val="{00000000-C36E-4CF8-8199-B7F2674DE016}"/>
            </c:ext>
          </c:extLst>
        </c:ser>
        <c:dLbls>
          <c:showLegendKey val="0"/>
          <c:showVal val="0"/>
          <c:showCatName val="0"/>
          <c:showSerName val="0"/>
          <c:showPercent val="0"/>
          <c:showBubbleSize val="0"/>
        </c:dLbls>
        <c:smooth val="0"/>
        <c:axId val="630711807"/>
        <c:axId val="630711327"/>
        <c:extLst>
          <c:ext xmlns:c15="http://schemas.microsoft.com/office/drawing/2012/chart" uri="{02D57815-91ED-43cb-92C2-25804820EDAC}">
            <c15:filteredLineSeries>
              <c15:ser>
                <c:idx val="1"/>
                <c:order val="1"/>
                <c:tx>
                  <c:strRef>
                    <c:extLst>
                      <c:ext uri="{02D57815-91ED-43cb-92C2-25804820EDAC}">
                        <c15:formulaRef>
                          <c15:sqref>'Financial Sensitivity'!$O$9</c15:sqref>
                        </c15:formulaRef>
                      </c:ext>
                    </c:extLst>
                    <c:strCache>
                      <c:ptCount val="1"/>
                      <c:pt idx="0">
                        <c:v>Revenue</c:v>
                      </c:pt>
                    </c:strCache>
                  </c:strRef>
                </c:tx>
                <c:spPr>
                  <a:ln w="28575" cap="rnd">
                    <a:solidFill>
                      <a:schemeClr val="accent2"/>
                    </a:solidFill>
                    <a:round/>
                  </a:ln>
                  <a:effectLst/>
                </c:spPr>
                <c:marker>
                  <c:symbol val="none"/>
                </c:marker>
                <c:cat>
                  <c:numRef>
                    <c:extLst>
                      <c:ext uri="{02D57815-91ED-43cb-92C2-25804820EDAC}">
                        <c15:formulaRef>
                          <c15:sqref>'Financial Sensitivity'!$M$10:$M$25</c15:sqref>
                        </c15:formulaRef>
                      </c:ext>
                    </c:extLst>
                    <c:numCache>
                      <c:formatCode>General</c:formatCode>
                      <c:ptCount val="16"/>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numCache>
                  </c:numRef>
                </c:cat>
                <c:val>
                  <c:numRef>
                    <c:extLst>
                      <c:ext uri="{02D57815-91ED-43cb-92C2-25804820EDAC}">
                        <c15:formulaRef>
                          <c15:sqref>'Financial Sensitivity'!$O$10:$O$25</c15:sqref>
                        </c15:formulaRef>
                      </c:ext>
                    </c:extLst>
                    <c:numCache>
                      <c:formatCode>_("$"* #,##0_);_("$"* \(#,##0\);_("$"* "-"??_);_(@_)</c:formatCode>
                      <c:ptCount val="16"/>
                      <c:pt idx="0">
                        <c:v>0</c:v>
                      </c:pt>
                      <c:pt idx="1">
                        <c:v>0</c:v>
                      </c:pt>
                      <c:pt idx="2">
                        <c:v>0</c:v>
                      </c:pt>
                      <c:pt idx="3">
                        <c:v>10091.735500000001</c:v>
                      </c:pt>
                      <c:pt idx="4">
                        <c:v>23011.950499999999</c:v>
                      </c:pt>
                      <c:pt idx="5">
                        <c:v>28808.587499999994</c:v>
                      </c:pt>
                      <c:pt idx="6">
                        <c:v>33422.950000000004</c:v>
                      </c:pt>
                      <c:pt idx="7">
                        <c:v>38062.254999999997</c:v>
                      </c:pt>
                      <c:pt idx="8">
                        <c:v>38062.254999999997</c:v>
                      </c:pt>
                      <c:pt idx="9">
                        <c:v>38062.254999999997</c:v>
                      </c:pt>
                      <c:pt idx="10">
                        <c:v>38062.254999999997</c:v>
                      </c:pt>
                      <c:pt idx="11">
                        <c:v>38062.254999999997</c:v>
                      </c:pt>
                      <c:pt idx="12">
                        <c:v>38062.254999999997</c:v>
                      </c:pt>
                      <c:pt idx="13">
                        <c:v>34570.304999999993</c:v>
                      </c:pt>
                      <c:pt idx="14">
                        <c:v>31078.355</c:v>
                      </c:pt>
                      <c:pt idx="15">
                        <c:v>27586.404999999999</c:v>
                      </c:pt>
                    </c:numCache>
                  </c:numRef>
                </c:val>
                <c:smooth val="0"/>
                <c:extLst>
                  <c:ext xmlns:c16="http://schemas.microsoft.com/office/drawing/2014/chart" uri="{C3380CC4-5D6E-409C-BE32-E72D297353CC}">
                    <c16:uniqueId val="{00000001-C36E-4CF8-8199-B7F2674DE016}"/>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'Financial Sensitivity'!$P$9</c15:sqref>
                        </c15:formulaRef>
                      </c:ext>
                    </c:extLst>
                    <c:strCache>
                      <c:ptCount val="1"/>
                      <c:pt idx="0">
                        <c:v>Expenses</c:v>
                      </c:pt>
                    </c:strCache>
                  </c:strRef>
                </c:tx>
                <c:spPr>
                  <a:ln w="28575" cap="rnd">
                    <a:solidFill>
                      <a:schemeClr val="accent3"/>
                    </a:solidFill>
                    <a:round/>
                  </a:ln>
                  <a:effectLst/>
                </c:spPr>
                <c:marker>
                  <c:symbol val="none"/>
                </c:marker>
                <c:cat>
                  <c:numRef>
                    <c:extLst xmlns:c15="http://schemas.microsoft.com/office/drawing/2012/chart">
                      <c:ext xmlns:c15="http://schemas.microsoft.com/office/drawing/2012/chart" uri="{02D57815-91ED-43cb-92C2-25804820EDAC}">
                        <c15:formulaRef>
                          <c15:sqref>'Financial Sensitivity'!$M$10:$M$25</c15:sqref>
                        </c15:formulaRef>
                      </c:ext>
                    </c:extLst>
                    <c:numCache>
                      <c:formatCode>General</c:formatCode>
                      <c:ptCount val="16"/>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numCache>
                  </c:numRef>
                </c:cat>
                <c:val>
                  <c:numRef>
                    <c:extLst xmlns:c15="http://schemas.microsoft.com/office/drawing/2012/chart">
                      <c:ext xmlns:c15="http://schemas.microsoft.com/office/drawing/2012/chart" uri="{02D57815-91ED-43cb-92C2-25804820EDAC}">
                        <c15:formulaRef>
                          <c15:sqref>'Financial Sensitivity'!$P$10:$P$25</c15:sqref>
                        </c15:formulaRef>
                      </c:ext>
                    </c:extLst>
                    <c:numCache>
                      <c:formatCode>_("$"* #,##0_);_("$"* \(#,##0\);_("$"* "-"??_);_(@_)</c:formatCode>
                      <c:ptCount val="16"/>
                      <c:pt idx="0">
                        <c:v>1770.3712427937501</c:v>
                      </c:pt>
                      <c:pt idx="1">
                        <c:v>18322.450286681247</c:v>
                      </c:pt>
                      <c:pt idx="2">
                        <c:v>4662.7920582812494</c:v>
                      </c:pt>
                      <c:pt idx="3">
                        <c:v>11505.764139131252</c:v>
                      </c:pt>
                      <c:pt idx="4">
                        <c:v>11505.764139131252</c:v>
                      </c:pt>
                      <c:pt idx="5">
                        <c:v>11505.764139131252</c:v>
                      </c:pt>
                      <c:pt idx="6">
                        <c:v>11505.764139131252</c:v>
                      </c:pt>
                      <c:pt idx="7">
                        <c:v>13565.95769850625</c:v>
                      </c:pt>
                      <c:pt idx="8">
                        <c:v>13565.95769850625</c:v>
                      </c:pt>
                      <c:pt idx="9">
                        <c:v>13565.95769850625</c:v>
                      </c:pt>
                      <c:pt idx="10">
                        <c:v>13565.95769850625</c:v>
                      </c:pt>
                      <c:pt idx="11">
                        <c:v>13565.95769850625</c:v>
                      </c:pt>
                      <c:pt idx="12">
                        <c:v>13565.95769850625</c:v>
                      </c:pt>
                      <c:pt idx="13">
                        <c:v>13565.95769850625</c:v>
                      </c:pt>
                      <c:pt idx="14">
                        <c:v>13565.95769850625</c:v>
                      </c:pt>
                      <c:pt idx="15">
                        <c:v>13565.95769850625</c:v>
                      </c:pt>
                    </c:numCache>
                  </c:numRef>
                </c:val>
                <c:smooth val="0"/>
                <c:extLst xmlns:c15="http://schemas.microsoft.com/office/drawing/2012/chart">
                  <c:ext xmlns:c16="http://schemas.microsoft.com/office/drawing/2014/chart" uri="{C3380CC4-5D6E-409C-BE32-E72D297353CC}">
                    <c16:uniqueId val="{00000002-C36E-4CF8-8199-B7F2674DE016}"/>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'Financial Sensitivity'!$Q$9</c15:sqref>
                        </c15:formulaRef>
                      </c:ext>
                    </c:extLst>
                    <c:strCache>
                      <c:ptCount val="1"/>
                      <c:pt idx="0">
                        <c:v>Net income</c:v>
                      </c:pt>
                    </c:strCache>
                  </c:strRef>
                </c:tx>
                <c:spPr>
                  <a:ln w="28575" cap="rnd">
                    <a:solidFill>
                      <a:schemeClr val="accent4"/>
                    </a:solidFill>
                    <a:round/>
                  </a:ln>
                  <a:effectLst/>
                </c:spPr>
                <c:marker>
                  <c:symbol val="none"/>
                </c:marker>
                <c:cat>
                  <c:numRef>
                    <c:extLst xmlns:c15="http://schemas.microsoft.com/office/drawing/2012/chart">
                      <c:ext xmlns:c15="http://schemas.microsoft.com/office/drawing/2012/chart" uri="{02D57815-91ED-43cb-92C2-25804820EDAC}">
                        <c15:formulaRef>
                          <c15:sqref>'Financial Sensitivity'!$M$10:$M$25</c15:sqref>
                        </c15:formulaRef>
                      </c:ext>
                    </c:extLst>
                    <c:numCache>
                      <c:formatCode>General</c:formatCode>
                      <c:ptCount val="16"/>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numCache>
                  </c:numRef>
                </c:cat>
                <c:val>
                  <c:numRef>
                    <c:extLst xmlns:c15="http://schemas.microsoft.com/office/drawing/2012/chart">
                      <c:ext xmlns:c15="http://schemas.microsoft.com/office/drawing/2012/chart" uri="{02D57815-91ED-43cb-92C2-25804820EDAC}">
                        <c15:formulaRef>
                          <c15:sqref>'Financial Sensitivity'!$Q$10:$Q$25</c15:sqref>
                        </c15:formulaRef>
                      </c:ext>
                    </c:extLst>
                    <c:numCache>
                      <c:formatCode>_("$"* #,##0_);_("$"* \(#,##0\);_("$"* "-"??_);_(@_)</c:formatCode>
                      <c:ptCount val="16"/>
                      <c:pt idx="0">
                        <c:v>-1770.3712427937501</c:v>
                      </c:pt>
                      <c:pt idx="1">
                        <c:v>-18322.450286681247</c:v>
                      </c:pt>
                      <c:pt idx="2">
                        <c:v>-4662.7920582812494</c:v>
                      </c:pt>
                      <c:pt idx="3">
                        <c:v>-1414.0286391312511</c:v>
                      </c:pt>
                      <c:pt idx="4">
                        <c:v>11506.186360868747</c:v>
                      </c:pt>
                      <c:pt idx="5">
                        <c:v>17302.823360868744</c:v>
                      </c:pt>
                      <c:pt idx="6">
                        <c:v>21917.185860868754</c:v>
                      </c:pt>
                      <c:pt idx="7">
                        <c:v>24496.297301493745</c:v>
                      </c:pt>
                      <c:pt idx="8">
                        <c:v>24496.297301493745</c:v>
                      </c:pt>
                      <c:pt idx="9">
                        <c:v>24496.297301493745</c:v>
                      </c:pt>
                      <c:pt idx="10">
                        <c:v>24496.297301493745</c:v>
                      </c:pt>
                      <c:pt idx="11">
                        <c:v>24496.297301493745</c:v>
                      </c:pt>
                      <c:pt idx="12">
                        <c:v>24496.297301493745</c:v>
                      </c:pt>
                      <c:pt idx="13">
                        <c:v>21004.347301493741</c:v>
                      </c:pt>
                      <c:pt idx="14">
                        <c:v>17512.397301493751</c:v>
                      </c:pt>
                      <c:pt idx="15">
                        <c:v>14020.447301493748</c:v>
                      </c:pt>
                    </c:numCache>
                  </c:numRef>
                </c:val>
                <c:smooth val="0"/>
                <c:extLst xmlns:c15="http://schemas.microsoft.com/office/drawing/2012/chart">
                  <c:ext xmlns:c16="http://schemas.microsoft.com/office/drawing/2014/chart" uri="{C3380CC4-5D6E-409C-BE32-E72D297353CC}">
                    <c16:uniqueId val="{00000003-C36E-4CF8-8199-B7F2674DE016}"/>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'Financial Sensitivity'!$R$9</c15:sqref>
                        </c15:formulaRef>
                      </c:ext>
                    </c:extLst>
                    <c:strCache>
                      <c:ptCount val="1"/>
                      <c:pt idx="0">
                        <c:v>Cumulative returns</c:v>
                      </c:pt>
                    </c:strCache>
                  </c:strRef>
                </c:tx>
                <c:spPr>
                  <a:ln w="28575" cap="rnd">
                    <a:solidFill>
                      <a:schemeClr val="accent5"/>
                    </a:solidFill>
                    <a:round/>
                  </a:ln>
                  <a:effectLst/>
                </c:spPr>
                <c:marker>
                  <c:symbol val="none"/>
                </c:marker>
                <c:dLbls>
                  <c:dLbl>
                    <c:idx val="0"/>
                    <c:layout>
                      <c:manualLayout>
                        <c:x val="-3.8066299612135708E-2"/>
                        <c:y val="-4.711110866163964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A-C36E-4CF8-8199-B7F2674DE016}"/>
                      </c:ext>
                    </c:extLst>
                  </c:dLbl>
                  <c:dLbl>
                    <c:idx val="1"/>
                    <c:layout>
                      <c:manualLayout>
                        <c:x val="-6.1491714758065356E-2"/>
                        <c:y val="3.095872854907728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7-C36E-4CF8-8199-B7F2674DE016}"/>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6-C36E-4CF8-8199-B7F2674DE016}"/>
                      </c:ext>
                    </c:extLst>
                  </c:dLbl>
                  <c:dLbl>
                    <c:idx val="3"/>
                    <c:layout>
                      <c:manualLayout>
                        <c:x val="-4.3922653398618137E-2"/>
                        <c:y val="2.4228570168843146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8-C36E-4CF8-8199-B7F2674DE016}"/>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C36E-4CF8-8199-B7F2674DE016}"/>
                      </c:ext>
                    </c:extLst>
                  </c:dLbl>
                  <c:spPr>
                    <a:noFill/>
                    <a:ln>
                      <a:noFill/>
                    </a:ln>
                    <a:effectLst/>
                  </c:spPr>
                  <c:txPr>
                    <a:bodyPr rot="0" spcFirstLastPara="1" vertOverflow="ellipsis" vert="horz" wrap="square" anchor="ctr" anchorCtr="1"/>
                    <a:lstStyle/>
                    <a:p>
                      <a:pPr>
                        <a:defRPr sz="2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xmlns:c15="http://schemas.microsoft.com/office/drawing/2012/chart">
                      <c:ext xmlns:c15="http://schemas.microsoft.com/office/drawing/2012/chart" uri="{02D57815-91ED-43cb-92C2-25804820EDAC}">
                        <c15:formulaRef>
                          <c15:sqref>'Financial Sensitivity'!$M$10:$M$25</c15:sqref>
                        </c15:formulaRef>
                      </c:ext>
                    </c:extLst>
                    <c:numCache>
                      <c:formatCode>General</c:formatCode>
                      <c:ptCount val="16"/>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numCache>
                  </c:numRef>
                </c:cat>
                <c:val>
                  <c:numRef>
                    <c:extLst xmlns:c15="http://schemas.microsoft.com/office/drawing/2012/chart">
                      <c:ext xmlns:c15="http://schemas.microsoft.com/office/drawing/2012/chart" uri="{02D57815-91ED-43cb-92C2-25804820EDAC}">
                        <c15:formulaRef>
                          <c15:sqref>'Financial Sensitivity'!$R$10:$R$25</c15:sqref>
                        </c15:formulaRef>
                      </c:ext>
                    </c:extLst>
                    <c:numCache>
                      <c:formatCode>_("$"* #,##0_);_("$"* \(#,##0\);_("$"* "-"??_);_(@_)</c:formatCode>
                      <c:ptCount val="16"/>
                      <c:pt idx="0">
                        <c:v>-1770.3712427937501</c:v>
                      </c:pt>
                      <c:pt idx="1">
                        <c:v>-20092.821529474997</c:v>
                      </c:pt>
                      <c:pt idx="2">
                        <c:v>-24755.613587756248</c:v>
                      </c:pt>
                      <c:pt idx="3">
                        <c:v>-26169.642226887499</c:v>
                      </c:pt>
                      <c:pt idx="4">
                        <c:v>-14663.455866018752</c:v>
                      </c:pt>
                      <c:pt idx="5">
                        <c:v>2639.367494849992</c:v>
                      </c:pt>
                      <c:pt idx="6">
                        <c:v>24556.553355718745</c:v>
                      </c:pt>
                      <c:pt idx="7">
                        <c:v>49052.85065721249</c:v>
                      </c:pt>
                      <c:pt idx="8">
                        <c:v>73549.147958706235</c:v>
                      </c:pt>
                      <c:pt idx="9">
                        <c:v>98045.44526019998</c:v>
                      </c:pt>
                      <c:pt idx="10">
                        <c:v>122541.74256169373</c:v>
                      </c:pt>
                      <c:pt idx="11">
                        <c:v>147038.03986318747</c:v>
                      </c:pt>
                      <c:pt idx="12">
                        <c:v>171534.33716468123</c:v>
                      </c:pt>
                      <c:pt idx="13">
                        <c:v>192538.68446617498</c:v>
                      </c:pt>
                      <c:pt idx="14">
                        <c:v>210051.08176766871</c:v>
                      </c:pt>
                      <c:pt idx="15">
                        <c:v>224071.52906916247</c:v>
                      </c:pt>
                    </c:numCache>
                  </c:numRef>
                </c:val>
                <c:smooth val="0"/>
                <c:extLst xmlns:c15="http://schemas.microsoft.com/office/drawing/2012/chart">
                  <c:ext xmlns:c16="http://schemas.microsoft.com/office/drawing/2014/chart" uri="{C3380CC4-5D6E-409C-BE32-E72D297353CC}">
                    <c16:uniqueId val="{00000004-C36E-4CF8-8199-B7F2674DE016}"/>
                  </c:ext>
                </c:extLst>
              </c15:ser>
            </c15:filteredLineSeries>
          </c:ext>
        </c:extLst>
      </c:lineChart>
      <c:catAx>
        <c:axId val="630711807"/>
        <c:scaling>
          <c:orientation val="minMax"/>
        </c:scaling>
        <c:delete val="0"/>
        <c:axPos val="b"/>
        <c:numFmt formatCode="General" sourceLinked="1"/>
        <c:majorTickMark val="cross"/>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crossAx val="630711327"/>
        <c:crosses val="autoZero"/>
        <c:auto val="1"/>
        <c:lblAlgn val="ctr"/>
        <c:lblOffset val="100"/>
        <c:noMultiLvlLbl val="0"/>
      </c:catAx>
      <c:valAx>
        <c:axId val="63071132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crossAx val="630711807"/>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2000"/>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r>
              <a:rPr lang="en-US"/>
              <a:t>MO U-pick Blueberry</a:t>
            </a:r>
            <a:r>
              <a:rPr lang="en-US" baseline="0"/>
              <a:t> Dollars per Acre Years 1-8</a:t>
            </a:r>
            <a:r>
              <a:rPr lang="en-US"/>
              <a:t> </a:t>
            </a:r>
          </a:p>
        </c:rich>
      </c:tx>
      <c:overlay val="0"/>
      <c:spPr>
        <a:no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3"/>
          <c:order val="3"/>
          <c:tx>
            <c:strRef>
              <c:f>'Financial Sensitivity'!$Q$9</c:f>
              <c:strCache>
                <c:ptCount val="1"/>
                <c:pt idx="0">
                  <c:v>Net income</c:v>
                </c:pt>
              </c:strCache>
            </c:strRef>
          </c:tx>
          <c:spPr>
            <a:ln w="28575" cap="rnd">
              <a:solidFill>
                <a:schemeClr val="accent4"/>
              </a:solidFill>
              <a:round/>
            </a:ln>
            <a:effectLst/>
          </c:spPr>
          <c:marker>
            <c:symbol val="none"/>
          </c:marker>
          <c:dLbls>
            <c:dLbl>
              <c:idx val="2"/>
              <c:layout>
                <c:manualLayout>
                  <c:x val="-3.9042358576550137E-3"/>
                  <c:y val="2.69206335209369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4682-4BCB-ABBC-1229CEB38775}"/>
                </c:ext>
              </c:extLst>
            </c:dLbl>
            <c:dLbl>
              <c:idx val="6"/>
              <c:layout>
                <c:manualLayout>
                  <c:x val="-8.8821365761649937E-2"/>
                  <c:y val="-3.09587285490775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4682-4BCB-ABBC-1229CEB38775}"/>
                </c:ext>
              </c:extLst>
            </c:dLbl>
            <c:dLbl>
              <c:idx val="7"/>
              <c:layout>
                <c:manualLayout>
                  <c:x val="0"/>
                  <c:y val="-2.422857016884329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4682-4BCB-ABBC-1229CEB38775}"/>
                </c:ext>
              </c:extLst>
            </c:dLbl>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'Financial Sensitivity'!$M$10:$M$25</c15:sqref>
                  </c15:fullRef>
                </c:ext>
              </c:extLst>
              <c:f>'Financial Sensitivity'!$M$10:$M$17</c:f>
              <c:numCache>
                <c:formatCode>General</c:formatCode>
                <c:ptCount val="8"/>
                <c:pt idx="0">
                  <c:v>1</c:v>
                </c:pt>
                <c:pt idx="1">
                  <c:v>2</c:v>
                </c:pt>
                <c:pt idx="2">
                  <c:v>3</c:v>
                </c:pt>
                <c:pt idx="3">
                  <c:v>4</c:v>
                </c:pt>
                <c:pt idx="4">
                  <c:v>5</c:v>
                </c:pt>
                <c:pt idx="5">
                  <c:v>6</c:v>
                </c:pt>
                <c:pt idx="6">
                  <c:v>7</c:v>
                </c:pt>
                <c:pt idx="7">
                  <c:v>8</c:v>
                </c:pt>
              </c:numCache>
            </c:numRef>
          </c:cat>
          <c:val>
            <c:numRef>
              <c:extLst>
                <c:ext xmlns:c15="http://schemas.microsoft.com/office/drawing/2012/chart" uri="{02D57815-91ED-43cb-92C2-25804820EDAC}">
                  <c15:fullRef>
                    <c15:sqref>'Financial Sensitivity'!$Q$10:$Q$25</c15:sqref>
                  </c15:fullRef>
                </c:ext>
              </c:extLst>
              <c:f>'Financial Sensitivity'!$Q$10:$Q$17</c:f>
              <c:numCache>
                <c:formatCode>_("$"* #,##0_);_("$"* \(#,##0\);_("$"* "-"??_);_(@_)</c:formatCode>
                <c:ptCount val="8"/>
                <c:pt idx="0">
                  <c:v>-1770.3712427937501</c:v>
                </c:pt>
                <c:pt idx="1">
                  <c:v>-18322.450286681247</c:v>
                </c:pt>
                <c:pt idx="2">
                  <c:v>-4662.7920582812494</c:v>
                </c:pt>
                <c:pt idx="3">
                  <c:v>-1414.0286391312511</c:v>
                </c:pt>
                <c:pt idx="4">
                  <c:v>11506.186360868747</c:v>
                </c:pt>
                <c:pt idx="5">
                  <c:v>17302.823360868744</c:v>
                </c:pt>
                <c:pt idx="6">
                  <c:v>21917.185860868754</c:v>
                </c:pt>
                <c:pt idx="7">
                  <c:v>24496.297301493745</c:v>
                </c:pt>
              </c:numCache>
            </c:numRef>
          </c:val>
          <c:smooth val="0"/>
          <c:extLst>
            <c:ext xmlns:c16="http://schemas.microsoft.com/office/drawing/2014/chart" uri="{C3380CC4-5D6E-409C-BE32-E72D297353CC}">
              <c16:uniqueId val="{00000000-4682-4BCB-ABBC-1229CEB38775}"/>
            </c:ext>
          </c:extLst>
        </c:ser>
        <c:ser>
          <c:idx val="4"/>
          <c:order val="4"/>
          <c:tx>
            <c:strRef>
              <c:f>'Financial Sensitivity'!$R$9</c:f>
              <c:strCache>
                <c:ptCount val="1"/>
                <c:pt idx="0">
                  <c:v>Cumulative returns</c:v>
                </c:pt>
              </c:strCache>
            </c:strRef>
          </c:tx>
          <c:spPr>
            <a:ln w="28575" cap="rnd">
              <a:solidFill>
                <a:schemeClr val="accent5"/>
              </a:solidFill>
              <a:round/>
            </a:ln>
            <a:effectLst/>
          </c:spPr>
          <c:marker>
            <c:symbol val="none"/>
          </c:marker>
          <c:dLbls>
            <c:dLbl>
              <c:idx val="0"/>
              <c:layout>
                <c:manualLayout>
                  <c:x val="-3.8066299612135708E-2"/>
                  <c:y val="-4.71111086616396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682-4BCB-ABBC-1229CEB38775}"/>
                </c:ext>
              </c:extLst>
            </c:dLbl>
            <c:dLbl>
              <c:idx val="1"/>
              <c:layout>
                <c:manualLayout>
                  <c:x val="-6.1491714758065356E-2"/>
                  <c:y val="3.09587285490772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682-4BCB-ABBC-1229CEB38775}"/>
                </c:ext>
              </c:extLst>
            </c:dLbl>
            <c:dLbl>
              <c:idx val="2"/>
              <c:delete val="1"/>
              <c:extLst>
                <c:ext xmlns:c15="http://schemas.microsoft.com/office/drawing/2012/chart" uri="{CE6537A1-D6FC-4f65-9D91-7224C49458BB}"/>
                <c:ext xmlns:c16="http://schemas.microsoft.com/office/drawing/2014/chart" uri="{C3380CC4-5D6E-409C-BE32-E72D297353CC}">
                  <c16:uniqueId val="{00000003-4682-4BCB-ABBC-1229CEB38775}"/>
                </c:ext>
              </c:extLst>
            </c:dLbl>
            <c:dLbl>
              <c:idx val="3"/>
              <c:layout>
                <c:manualLayout>
                  <c:x val="-4.3922653398618137E-2"/>
                  <c:y val="2.42285701688431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682-4BCB-ABBC-1229CEB38775}"/>
                </c:ext>
              </c:extLst>
            </c:dLbl>
            <c:dLbl>
              <c:idx val="4"/>
              <c:delete val="1"/>
              <c:extLst>
                <c:ext xmlns:c15="http://schemas.microsoft.com/office/drawing/2012/chart" uri="{CE6537A1-D6FC-4f65-9D91-7224C49458BB}"/>
                <c:ext xmlns:c16="http://schemas.microsoft.com/office/drawing/2014/chart" uri="{C3380CC4-5D6E-409C-BE32-E72D297353CC}">
                  <c16:uniqueId val="{00000005-4682-4BCB-ABBC-1229CEB38775}"/>
                </c:ext>
              </c:extLst>
            </c:dLbl>
            <c:dLbl>
              <c:idx val="6"/>
              <c:layout>
                <c:manualLayout>
                  <c:x val="4.8802948220686782E-3"/>
                  <c:y val="3.90349186053585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4682-4BCB-ABBC-1229CEB38775}"/>
                </c:ext>
              </c:extLst>
            </c:dLbl>
            <c:dLbl>
              <c:idx val="7"/>
              <c:layout>
                <c:manualLayout>
                  <c:x val="-1.756906135944724E-2"/>
                  <c:y val="-3.63428552532648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682-4BCB-ABBC-1229CEB38775}"/>
                </c:ext>
              </c:extLst>
            </c:dLbl>
            <c:spPr>
              <a:noFill/>
              <a:ln>
                <a:noFill/>
              </a:ln>
              <a:effectLst/>
            </c:spPr>
            <c:txPr>
              <a:bodyPr rot="0" spcFirstLastPara="1" vertOverflow="ellipsis" vert="horz" wrap="square" anchor="ctr" anchorCtr="1"/>
              <a:lstStyle/>
              <a:p>
                <a:pPr>
                  <a:defRPr sz="2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xmlns:c15="http://schemas.microsoft.com/office/drawing/2012/chart" uri="{02D57815-91ED-43cb-92C2-25804820EDAC}">
                  <c15:fullRef>
                    <c15:sqref>'Financial Sensitivity'!$M$10:$M$25</c15:sqref>
                  </c15:fullRef>
                </c:ext>
              </c:extLst>
              <c:f>'Financial Sensitivity'!$M$10:$M$17</c:f>
              <c:numCache>
                <c:formatCode>General</c:formatCode>
                <c:ptCount val="8"/>
                <c:pt idx="0">
                  <c:v>1</c:v>
                </c:pt>
                <c:pt idx="1">
                  <c:v>2</c:v>
                </c:pt>
                <c:pt idx="2">
                  <c:v>3</c:v>
                </c:pt>
                <c:pt idx="3">
                  <c:v>4</c:v>
                </c:pt>
                <c:pt idx="4">
                  <c:v>5</c:v>
                </c:pt>
                <c:pt idx="5">
                  <c:v>6</c:v>
                </c:pt>
                <c:pt idx="6">
                  <c:v>7</c:v>
                </c:pt>
                <c:pt idx="7">
                  <c:v>8</c:v>
                </c:pt>
              </c:numCache>
            </c:numRef>
          </c:cat>
          <c:val>
            <c:numRef>
              <c:extLst>
                <c:ext xmlns:c15="http://schemas.microsoft.com/office/drawing/2012/chart" uri="{02D57815-91ED-43cb-92C2-25804820EDAC}">
                  <c15:fullRef>
                    <c15:sqref>'Financial Sensitivity'!$R$10:$R$25</c15:sqref>
                  </c15:fullRef>
                </c:ext>
              </c:extLst>
              <c:f>'Financial Sensitivity'!$R$10:$R$17</c:f>
              <c:numCache>
                <c:formatCode>_("$"* #,##0_);_("$"* \(#,##0\);_("$"* "-"??_);_(@_)</c:formatCode>
                <c:ptCount val="8"/>
                <c:pt idx="0">
                  <c:v>-1770.3712427937501</c:v>
                </c:pt>
                <c:pt idx="1">
                  <c:v>-20092.821529474997</c:v>
                </c:pt>
                <c:pt idx="2">
                  <c:v>-24755.613587756248</c:v>
                </c:pt>
                <c:pt idx="3">
                  <c:v>-26169.642226887499</c:v>
                </c:pt>
                <c:pt idx="4">
                  <c:v>-14663.455866018752</c:v>
                </c:pt>
                <c:pt idx="5">
                  <c:v>2639.367494849992</c:v>
                </c:pt>
                <c:pt idx="6">
                  <c:v>24556.553355718745</c:v>
                </c:pt>
                <c:pt idx="7">
                  <c:v>49052.85065721249</c:v>
                </c:pt>
              </c:numCache>
            </c:numRef>
          </c:val>
          <c:smooth val="0"/>
          <c:extLst>
            <c:ext xmlns:c16="http://schemas.microsoft.com/office/drawing/2014/chart" uri="{C3380CC4-5D6E-409C-BE32-E72D297353CC}">
              <c16:uniqueId val="{00000006-4682-4BCB-ABBC-1229CEB38775}"/>
            </c:ext>
          </c:extLst>
        </c:ser>
        <c:dLbls>
          <c:showLegendKey val="0"/>
          <c:showVal val="0"/>
          <c:showCatName val="0"/>
          <c:showSerName val="0"/>
          <c:showPercent val="0"/>
          <c:showBubbleSize val="0"/>
        </c:dLbls>
        <c:marker val="1"/>
        <c:smooth val="0"/>
        <c:axId val="630711807"/>
        <c:axId val="630711327"/>
        <c:extLst>
          <c:ext xmlns:c15="http://schemas.microsoft.com/office/drawing/2012/chart" uri="{02D57815-91ED-43cb-92C2-25804820EDAC}">
            <c15:filteredLineSeries>
              <c15:ser>
                <c:idx val="1"/>
                <c:order val="1"/>
                <c:tx>
                  <c:strRef>
                    <c:extLst>
                      <c:ext uri="{02D57815-91ED-43cb-92C2-25804820EDAC}">
                        <c15:formulaRef>
                          <c15:sqref>'Financial Sensitivity'!$O$9</c15:sqref>
                        </c15:formulaRef>
                      </c:ext>
                    </c:extLst>
                    <c:strCache>
                      <c:ptCount val="1"/>
                      <c:pt idx="0">
                        <c:v>Revenue</c:v>
                      </c:pt>
                    </c:strCache>
                  </c:strRef>
                </c:tx>
                <c:spPr>
                  <a:ln w="28575" cap="rnd">
                    <a:solidFill>
                      <a:schemeClr val="accent2"/>
                    </a:solidFill>
                    <a:round/>
                  </a:ln>
                  <a:effectLst/>
                </c:spPr>
                <c:marker>
                  <c:symbol val="none"/>
                </c:marker>
                <c:cat>
                  <c:numRef>
                    <c:extLst>
                      <c:ext uri="{02D57815-91ED-43cb-92C2-25804820EDAC}">
                        <c15:fullRef>
                          <c15:sqref>'Financial Sensitivity'!$M$10:$M$25</c15:sqref>
                        </c15:fullRef>
                        <c15:formulaRef>
                          <c15:sqref>'Financial Sensitivity'!$M$10:$M$17</c15:sqref>
                        </c15:formulaRef>
                      </c:ext>
                    </c:extLst>
                    <c:numCache>
                      <c:formatCode>General</c:formatCode>
                      <c:ptCount val="8"/>
                      <c:pt idx="0">
                        <c:v>1</c:v>
                      </c:pt>
                      <c:pt idx="1">
                        <c:v>2</c:v>
                      </c:pt>
                      <c:pt idx="2">
                        <c:v>3</c:v>
                      </c:pt>
                      <c:pt idx="3">
                        <c:v>4</c:v>
                      </c:pt>
                      <c:pt idx="4">
                        <c:v>5</c:v>
                      </c:pt>
                      <c:pt idx="5">
                        <c:v>6</c:v>
                      </c:pt>
                      <c:pt idx="6">
                        <c:v>7</c:v>
                      </c:pt>
                      <c:pt idx="7">
                        <c:v>8</c:v>
                      </c:pt>
                    </c:numCache>
                  </c:numRef>
                </c:cat>
                <c:val>
                  <c:numRef>
                    <c:extLst>
                      <c:ext uri="{02D57815-91ED-43cb-92C2-25804820EDAC}">
                        <c15:fullRef>
                          <c15:sqref>'Financial Sensitivity'!$O$10:$O$25</c15:sqref>
                        </c15:fullRef>
                        <c15:formulaRef>
                          <c15:sqref>'Financial Sensitivity'!$O$10:$O$17</c15:sqref>
                        </c15:formulaRef>
                      </c:ext>
                    </c:extLst>
                    <c:numCache>
                      <c:formatCode>_("$"* #,##0_);_("$"* \(#,##0\);_("$"* "-"??_);_(@_)</c:formatCode>
                      <c:ptCount val="8"/>
                      <c:pt idx="0">
                        <c:v>0</c:v>
                      </c:pt>
                      <c:pt idx="1">
                        <c:v>0</c:v>
                      </c:pt>
                      <c:pt idx="2">
                        <c:v>0</c:v>
                      </c:pt>
                      <c:pt idx="3">
                        <c:v>10091.735500000001</c:v>
                      </c:pt>
                      <c:pt idx="4">
                        <c:v>23011.950499999999</c:v>
                      </c:pt>
                      <c:pt idx="5">
                        <c:v>28808.587499999994</c:v>
                      </c:pt>
                      <c:pt idx="6">
                        <c:v>33422.950000000004</c:v>
                      </c:pt>
                      <c:pt idx="7">
                        <c:v>38062.254999999997</c:v>
                      </c:pt>
                    </c:numCache>
                  </c:numRef>
                </c:val>
                <c:smooth val="0"/>
                <c:extLst>
                  <c:ext xmlns:c16="http://schemas.microsoft.com/office/drawing/2014/chart" uri="{C3380CC4-5D6E-409C-BE32-E72D297353CC}">
                    <c16:uniqueId val="{0000000E-4682-4BCB-ABBC-1229CEB38775}"/>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'Financial Sensitivity'!$P$9</c15:sqref>
                        </c15:formulaRef>
                      </c:ext>
                    </c:extLst>
                    <c:strCache>
                      <c:ptCount val="1"/>
                      <c:pt idx="0">
                        <c:v>Expenses</c:v>
                      </c:pt>
                    </c:strCache>
                  </c:strRef>
                </c:tx>
                <c:spPr>
                  <a:ln w="28575" cap="rnd">
                    <a:solidFill>
                      <a:schemeClr val="accent3"/>
                    </a:solidFill>
                    <a:round/>
                  </a:ln>
                  <a:effectLst/>
                </c:spPr>
                <c:marker>
                  <c:symbol val="none"/>
                </c:marker>
                <c:cat>
                  <c:numRef>
                    <c:extLst>
                      <c:ext xmlns:c15="http://schemas.microsoft.com/office/drawing/2012/chart" uri="{02D57815-91ED-43cb-92C2-25804820EDAC}">
                        <c15:fullRef>
                          <c15:sqref>'Financial Sensitivity'!$M$10:$M$25</c15:sqref>
                        </c15:fullRef>
                        <c15:formulaRef>
                          <c15:sqref>'Financial Sensitivity'!$M$10:$M$17</c15:sqref>
                        </c15:formulaRef>
                      </c:ext>
                    </c:extLst>
                    <c:numCache>
                      <c:formatCode>General</c:formatCode>
                      <c:ptCount val="8"/>
                      <c:pt idx="0">
                        <c:v>1</c:v>
                      </c:pt>
                      <c:pt idx="1">
                        <c:v>2</c:v>
                      </c:pt>
                      <c:pt idx="2">
                        <c:v>3</c:v>
                      </c:pt>
                      <c:pt idx="3">
                        <c:v>4</c:v>
                      </c:pt>
                      <c:pt idx="4">
                        <c:v>5</c:v>
                      </c:pt>
                      <c:pt idx="5">
                        <c:v>6</c:v>
                      </c:pt>
                      <c:pt idx="6">
                        <c:v>7</c:v>
                      </c:pt>
                      <c:pt idx="7">
                        <c:v>8</c:v>
                      </c:pt>
                    </c:numCache>
                  </c:numRef>
                </c:cat>
                <c:val>
                  <c:numRef>
                    <c:extLst>
                      <c:ext xmlns:c15="http://schemas.microsoft.com/office/drawing/2012/chart" uri="{02D57815-91ED-43cb-92C2-25804820EDAC}">
                        <c15:fullRef>
                          <c15:sqref>'Financial Sensitivity'!$P$10:$P$25</c15:sqref>
                        </c15:fullRef>
                        <c15:formulaRef>
                          <c15:sqref>'Financial Sensitivity'!$P$10:$P$17</c15:sqref>
                        </c15:formulaRef>
                      </c:ext>
                    </c:extLst>
                    <c:numCache>
                      <c:formatCode>_("$"* #,##0_);_("$"* \(#,##0\);_("$"* "-"??_);_(@_)</c:formatCode>
                      <c:ptCount val="8"/>
                      <c:pt idx="0">
                        <c:v>1770.3712427937501</c:v>
                      </c:pt>
                      <c:pt idx="1">
                        <c:v>18322.450286681247</c:v>
                      </c:pt>
                      <c:pt idx="2">
                        <c:v>4662.7920582812494</c:v>
                      </c:pt>
                      <c:pt idx="3">
                        <c:v>11505.764139131252</c:v>
                      </c:pt>
                      <c:pt idx="4">
                        <c:v>11505.764139131252</c:v>
                      </c:pt>
                      <c:pt idx="5">
                        <c:v>11505.764139131252</c:v>
                      </c:pt>
                      <c:pt idx="6">
                        <c:v>11505.764139131252</c:v>
                      </c:pt>
                      <c:pt idx="7">
                        <c:v>13565.95769850625</c:v>
                      </c:pt>
                    </c:numCache>
                  </c:numRef>
                </c:val>
                <c:smooth val="0"/>
                <c:extLst xmlns:c15="http://schemas.microsoft.com/office/drawing/2012/chart">
                  <c:ext xmlns:c16="http://schemas.microsoft.com/office/drawing/2014/chart" uri="{C3380CC4-5D6E-409C-BE32-E72D297353CC}">
                    <c16:uniqueId val="{0000000F-4682-4BCB-ABBC-1229CEB38775}"/>
                  </c:ext>
                </c:extLst>
              </c15:ser>
            </c15:filteredLineSeries>
          </c:ext>
        </c:extLst>
      </c:lineChart>
      <c:lineChart>
        <c:grouping val="standard"/>
        <c:varyColors val="0"/>
        <c:dLbls>
          <c:showLegendKey val="0"/>
          <c:showVal val="0"/>
          <c:showCatName val="0"/>
          <c:showSerName val="0"/>
          <c:showPercent val="0"/>
          <c:showBubbleSize val="0"/>
        </c:dLbls>
        <c:marker val="1"/>
        <c:smooth val="0"/>
        <c:axId val="1783149632"/>
        <c:axId val="1783147232"/>
        <c:extLst>
          <c:ext xmlns:c15="http://schemas.microsoft.com/office/drawing/2012/chart" uri="{02D57815-91ED-43cb-92C2-25804820EDAC}">
            <c15:filteredLineSeries>
              <c15:ser>
                <c:idx val="0"/>
                <c:order val="0"/>
                <c:tx>
                  <c:strRef>
                    <c:extLst>
                      <c:ext uri="{02D57815-91ED-43cb-92C2-25804820EDAC}">
                        <c15:formulaRef>
                          <c15:sqref>'Financial Sensitivity'!$N$9</c15:sqref>
                        </c15:formulaRef>
                      </c:ext>
                    </c:extLst>
                    <c:strCache>
                      <c:ptCount val="1"/>
                      <c:pt idx="0">
                        <c:v>Avg Yield Pds/Plant</c:v>
                      </c:pt>
                    </c:strCache>
                  </c:strRef>
                </c:tx>
                <c:spPr>
                  <a:ln w="28575" cap="rnd">
                    <a:solidFill>
                      <a:schemeClr val="accent1"/>
                    </a:solidFill>
                    <a:round/>
                  </a:ln>
                  <a:effectLst/>
                </c:spPr>
                <c:marker>
                  <c:symbol val="none"/>
                </c:marker>
                <c:dLbls>
                  <c:dLbl>
                    <c:idx val="2"/>
                    <c:delete val="1"/>
                    <c:extLst>
                      <c:ext uri="{CE6537A1-D6FC-4f65-9D91-7224C49458BB}"/>
                      <c:ext xmlns:c16="http://schemas.microsoft.com/office/drawing/2014/chart" uri="{C3380CC4-5D6E-409C-BE32-E72D297353CC}">
                        <c16:uniqueId val="{00000007-4682-4BCB-ABBC-1229CEB38775}"/>
                      </c:ext>
                    </c:extLst>
                  </c:dLbl>
                  <c:spPr>
                    <a:noFill/>
                    <a:ln>
                      <a:noFill/>
                    </a:ln>
                    <a:effectLst/>
                  </c:spPr>
                  <c:txPr>
                    <a:bodyPr rot="0" spcFirstLastPara="1" vertOverflow="ellipsis" vert="horz" wrap="square" anchor="ctr" anchorCtr="1"/>
                    <a:lstStyle/>
                    <a:p>
                      <a:pPr>
                        <a:defRPr sz="2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ullRef>
                          <c15:sqref>'Financial Sensitivity'!$M$10:$M$25</c15:sqref>
                        </c15:fullRef>
                        <c15:formulaRef>
                          <c15:sqref>'Financial Sensitivity'!$M$10:$M$17</c15:sqref>
                        </c15:formulaRef>
                      </c:ext>
                    </c:extLst>
                    <c:numCache>
                      <c:formatCode>General</c:formatCode>
                      <c:ptCount val="8"/>
                      <c:pt idx="0">
                        <c:v>1</c:v>
                      </c:pt>
                      <c:pt idx="1">
                        <c:v>2</c:v>
                      </c:pt>
                      <c:pt idx="2">
                        <c:v>3</c:v>
                      </c:pt>
                      <c:pt idx="3">
                        <c:v>4</c:v>
                      </c:pt>
                      <c:pt idx="4">
                        <c:v>5</c:v>
                      </c:pt>
                      <c:pt idx="5">
                        <c:v>6</c:v>
                      </c:pt>
                      <c:pt idx="6">
                        <c:v>7</c:v>
                      </c:pt>
                      <c:pt idx="7">
                        <c:v>8</c:v>
                      </c:pt>
                    </c:numCache>
                  </c:numRef>
                </c:cat>
                <c:val>
                  <c:numRef>
                    <c:extLst>
                      <c:ext uri="{02D57815-91ED-43cb-92C2-25804820EDAC}">
                        <c15:fullRef>
                          <c15:sqref>'Financial Sensitivity'!$N$10:$N$25</c15:sqref>
                        </c15:fullRef>
                        <c15:formulaRef>
                          <c15:sqref>'Financial Sensitivity'!$N$10:$N$17</c15:sqref>
                        </c15:formulaRef>
                      </c:ext>
                    </c:extLst>
                    <c:numCache>
                      <c:formatCode>General</c:formatCode>
                      <c:ptCount val="8"/>
                      <c:pt idx="0">
                        <c:v>0</c:v>
                      </c:pt>
                      <c:pt idx="1">
                        <c:v>0</c:v>
                      </c:pt>
                      <c:pt idx="2" formatCode="0.00">
                        <c:v>0.95899999999999996</c:v>
                      </c:pt>
                      <c:pt idx="3" formatCode="0.00">
                        <c:v>2.0230000000000001</c:v>
                      </c:pt>
                      <c:pt idx="4" formatCode="0.00">
                        <c:v>4.6129999999999995</c:v>
                      </c:pt>
                      <c:pt idx="5" formatCode="0.00">
                        <c:v>5.7749999999999995</c:v>
                      </c:pt>
                      <c:pt idx="6" formatCode="0.00">
                        <c:v>6.7</c:v>
                      </c:pt>
                      <c:pt idx="7">
                        <c:v>7.63</c:v>
                      </c:pt>
                    </c:numCache>
                  </c:numRef>
                </c:val>
                <c:smooth val="0"/>
                <c:extLst>
                  <c:ext uri="{02D57815-91ED-43cb-92C2-25804820EDAC}">
                    <c15:categoryFilterExceptions>
                      <c15:categoryFilterException>
                        <c15:sqref>'Financial Sensitivity'!$N$18</c15:sqref>
                        <c15:dLbl>
                          <c:idx val="7"/>
                          <c:delete val="1"/>
                          <c:extLst>
                            <c:ext uri="{CE6537A1-D6FC-4f65-9D91-7224C49458BB}"/>
                            <c:ext xmlns:c16="http://schemas.microsoft.com/office/drawing/2014/chart" uri="{C3380CC4-5D6E-409C-BE32-E72D297353CC}">
                              <c16:uniqueId val="{00000000-92F6-4BF5-AB94-F6118876EFEA}"/>
                            </c:ext>
                          </c:extLst>
                        </c15:dLbl>
                      </c15:categoryFilterException>
                      <c15:categoryFilterException>
                        <c15:sqref>'Financial Sensitivity'!$N$19</c15:sqref>
                        <c15:dLbl>
                          <c:idx val="7"/>
                          <c:delete val="1"/>
                          <c:extLst>
                            <c:ext uri="{CE6537A1-D6FC-4f65-9D91-7224C49458BB}"/>
                            <c:ext xmlns:c16="http://schemas.microsoft.com/office/drawing/2014/chart" uri="{C3380CC4-5D6E-409C-BE32-E72D297353CC}">
                              <c16:uniqueId val="{00000001-92F6-4BF5-AB94-F6118876EFEA}"/>
                            </c:ext>
                          </c:extLst>
                        </c15:dLbl>
                      </c15:categoryFilterException>
                      <c15:categoryFilterException>
                        <c15:sqref>'Financial Sensitivity'!$N$20</c15:sqref>
                        <c15:dLbl>
                          <c:idx val="7"/>
                          <c:delete val="1"/>
                          <c:extLst>
                            <c:ext uri="{CE6537A1-D6FC-4f65-9D91-7224C49458BB}"/>
                            <c:ext xmlns:c16="http://schemas.microsoft.com/office/drawing/2014/chart" uri="{C3380CC4-5D6E-409C-BE32-E72D297353CC}">
                              <c16:uniqueId val="{00000002-92F6-4BF5-AB94-F6118876EFEA}"/>
                            </c:ext>
                          </c:extLst>
                        </c15:dLbl>
                      </c15:categoryFilterException>
                      <c15:categoryFilterException>
                        <c15:sqref>'Financial Sensitivity'!$N$21</c15:sqref>
                        <c15:dLbl>
                          <c:idx val="7"/>
                          <c:delete val="1"/>
                          <c:extLst>
                            <c:ext uri="{CE6537A1-D6FC-4f65-9D91-7224C49458BB}"/>
                            <c:ext xmlns:c16="http://schemas.microsoft.com/office/drawing/2014/chart" uri="{C3380CC4-5D6E-409C-BE32-E72D297353CC}">
                              <c16:uniqueId val="{00000003-92F6-4BF5-AB94-F6118876EFEA}"/>
                            </c:ext>
                          </c:extLst>
                        </c15:dLbl>
                      </c15:categoryFilterException>
                      <c15:categoryFilterException>
                        <c15:sqref>'Financial Sensitivity'!$N$22</c15:sqref>
                        <c15:dLbl>
                          <c:idx val="7"/>
                          <c:delete val="1"/>
                          <c:extLst>
                            <c:ext uri="{CE6537A1-D6FC-4f65-9D91-7224C49458BB}"/>
                            <c:ext xmlns:c16="http://schemas.microsoft.com/office/drawing/2014/chart" uri="{C3380CC4-5D6E-409C-BE32-E72D297353CC}">
                              <c16:uniqueId val="{00000004-92F6-4BF5-AB94-F6118876EFEA}"/>
                            </c:ext>
                          </c:extLst>
                        </c15:dLbl>
                      </c15:categoryFilterException>
                    </c15:categoryFilterExceptions>
                  </c:ext>
                  <c:ext xmlns:c16="http://schemas.microsoft.com/office/drawing/2014/chart" uri="{C3380CC4-5D6E-409C-BE32-E72D297353CC}">
                    <c16:uniqueId val="{0000000D-4682-4BCB-ABBC-1229CEB38775}"/>
                  </c:ext>
                </c:extLst>
              </c15:ser>
            </c15:filteredLineSeries>
          </c:ext>
        </c:extLst>
      </c:lineChart>
      <c:catAx>
        <c:axId val="630711807"/>
        <c:scaling>
          <c:orientation val="minMax"/>
        </c:scaling>
        <c:delete val="0"/>
        <c:axPos val="b"/>
        <c:title>
          <c:tx>
            <c:rich>
              <a:bodyPr rot="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r>
                  <a:rPr lang="en-US"/>
                  <a:t>Years in Production - blueberries</a:t>
                </a:r>
                <a:r>
                  <a:rPr lang="en-US" baseline="0"/>
                  <a:t> are planted in year 2</a:t>
                </a:r>
                <a:endParaRPr lang="en-US"/>
              </a:p>
            </c:rich>
          </c:tx>
          <c:overlay val="0"/>
          <c:spPr>
            <a:noFill/>
            <a:ln>
              <a:noFill/>
            </a:ln>
            <a:effectLst/>
          </c:spPr>
          <c:txPr>
            <a:bodyPr rot="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cross"/>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crossAx val="630711327"/>
        <c:crosses val="autoZero"/>
        <c:auto val="1"/>
        <c:lblAlgn val="ctr"/>
        <c:lblOffset val="100"/>
        <c:noMultiLvlLbl val="0"/>
      </c:catAx>
      <c:valAx>
        <c:axId val="6307113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r>
                  <a:rPr lang="en-US"/>
                  <a:t>2026 U.S. Dollars</a:t>
                </a:r>
                <a:r>
                  <a:rPr lang="en-US" baseline="0"/>
                  <a:t> </a:t>
                </a:r>
                <a:endParaRPr lang="en-US"/>
              </a:p>
            </c:rich>
          </c:tx>
          <c:overlay val="0"/>
          <c:spPr>
            <a:noFill/>
            <a:ln>
              <a:noFill/>
            </a:ln>
            <a:effectLst/>
          </c:spPr>
          <c:txPr>
            <a:bodyPr rot="-54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title>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crossAx val="630711807"/>
        <c:crosses val="autoZero"/>
        <c:crossBetween val="midCat"/>
      </c:valAx>
      <c:valAx>
        <c:axId val="1783147232"/>
        <c:scaling>
          <c:orientation val="minMax"/>
        </c:scaling>
        <c:delete val="1"/>
        <c:axPos val="r"/>
        <c:numFmt formatCode="General" sourceLinked="1"/>
        <c:majorTickMark val="out"/>
        <c:minorTickMark val="none"/>
        <c:tickLblPos val="nextTo"/>
        <c:crossAx val="1783149632"/>
        <c:crosses val="max"/>
        <c:crossBetween val="between"/>
      </c:valAx>
      <c:catAx>
        <c:axId val="1783149632"/>
        <c:scaling>
          <c:orientation val="minMax"/>
        </c:scaling>
        <c:delete val="1"/>
        <c:axPos val="b"/>
        <c:numFmt formatCode="General" sourceLinked="1"/>
        <c:majorTickMark val="out"/>
        <c:minorTickMark val="none"/>
        <c:tickLblPos val="nextTo"/>
        <c:crossAx val="178314723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2000"/>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3.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A21020DC-B5CA-43AE-B974-DF146358052B}">
  <sheetPr/>
  <sheetViews>
    <sheetView zoomScale="80" workbookViewId="0" zoomToFit="1"/>
  </sheetViews>
  <sheetProtection content="1" objects="1"/>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A9213315-5A12-4F03-B5EE-3B0A8B72A861}">
  <sheetPr/>
  <sheetViews>
    <sheetView zoomScale="80" workbookViewId="0" zoomToFit="1"/>
  </sheetViews>
  <sheetProtection content="1" objects="1"/>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3</xdr:col>
      <xdr:colOff>114300</xdr:colOff>
      <xdr:row>4</xdr:row>
      <xdr:rowOff>0</xdr:rowOff>
    </xdr:from>
    <xdr:ext cx="2292350" cy="717775"/>
    <xdr:pic>
      <xdr:nvPicPr>
        <xdr:cNvPr id="7" name="Picture 6" descr="MU Extension logo">
          <a:extLst>
            <a:ext uri="{FF2B5EF4-FFF2-40B4-BE49-F238E27FC236}">
              <a16:creationId xmlns:a16="http://schemas.microsoft.com/office/drawing/2014/main" id="{153E3082-2B94-4029-A8AD-0016512992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67350" y="885825"/>
          <a:ext cx="2292350" cy="71777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absoluteAnchor>
    <xdr:pos x="0" y="0"/>
    <xdr:ext cx="13011509" cy="9435142"/>
    <xdr:graphicFrame macro="">
      <xdr:nvGraphicFramePr>
        <xdr:cNvPr id="2" name="Chart 1" descr="This is a line graph of the expected MO U-pick Blueberry orchard average yield in pounds per plant from years one through 16. This data can be found on the financial sensitivity table, it is plotted in this chart to encourage a grower to keep their own field production data and compare it to the model's estimates.">
          <a:extLst>
            <a:ext uri="{FF2B5EF4-FFF2-40B4-BE49-F238E27FC236}">
              <a16:creationId xmlns:a16="http://schemas.microsoft.com/office/drawing/2014/main" id="{6829A062-51BD-AAEA-6B15-E85C562C1F0C}"/>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13011509" cy="9435142"/>
    <xdr:graphicFrame macro="">
      <xdr:nvGraphicFramePr>
        <xdr:cNvPr id="2" name="Chart 1" descr="This is a line graph that plots out expected net income and expected cumulative returns from the MO U-pick blueberry orchard on a per acre basis from years 1 through 8. This data is also presented in the table on the financial sensitivity tab. This chart is provided to help growers ensure they have enough cash reserves or take out a loan to keep the operation viable until it break-even after several years of operation.">
          <a:extLst>
            <a:ext uri="{FF2B5EF4-FFF2-40B4-BE49-F238E27FC236}">
              <a16:creationId xmlns:a16="http://schemas.microsoft.com/office/drawing/2014/main" id="{F8B80E07-D73E-C0A7-1392-D841E8C1AE0B}"/>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ailmissouri-my.sharepoint.com/personal/milhollinr_umsystem_edu/Documents/Crops/Crop%20Budgets/2025/Forage/ForageBudgets%202025.xlsx" TargetMode="External"/><Relationship Id="rId1" Type="http://schemas.openxmlformats.org/officeDocument/2006/relationships/externalLinkPath" Target="https://mailmissouri.sharepoint.com/personal/milhollinr_umsystem_edu/Documents/Crops/Crop%20Budgets/2025/Forage/ForageBudgets%20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mlc4kg\Downloads\apple-budget.xlsx" TargetMode="External"/><Relationship Id="rId1" Type="http://schemas.openxmlformats.org/officeDocument/2006/relationships/externalLinkPath" Target="file:///C:\Users\mlc4kg\Downloads\apple-budg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duction"/>
      <sheetName val="Inputs"/>
      <sheetName val="Alfalfa Establishment"/>
      <sheetName val="Alfalfa Small Squares"/>
      <sheetName val="Alfalfa Baleage"/>
      <sheetName val="Corn Silage"/>
      <sheetName val="Pasture Establishment"/>
      <sheetName val="Mixed Hay"/>
      <sheetName val="Fescue Seed+Forage"/>
      <sheetName val="Equipment"/>
      <sheetName val="Machinery Input Tables"/>
      <sheetName val="Custom Hire"/>
      <sheetName val="ForageBudgets 202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troduction"/>
      <sheetName val="Budget"/>
      <sheetName val="Investments"/>
      <sheetName val="Machinery"/>
      <sheetName val="Chemicals"/>
      <sheetName val="Sensitivity"/>
    </sheetNames>
    <sheetDataSet>
      <sheetData sheetId="0"/>
      <sheetData sheetId="1">
        <row r="28">
          <cell r="D28">
            <v>18.5</v>
          </cell>
        </row>
        <row r="48">
          <cell r="D48">
            <v>3.25</v>
          </cell>
        </row>
        <row r="61">
          <cell r="D61">
            <v>7.4999999999999997E-2</v>
          </cell>
        </row>
      </sheetData>
      <sheetData sheetId="2"/>
      <sheetData sheetId="3"/>
      <sheetData sheetId="4"/>
      <sheetData sheetId="5"/>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ustom 1">
      <a:majorFont>
        <a:latin typeface="Aptos Black"/>
        <a:ea typeface=""/>
        <a:cs typeface=""/>
      </a:majorFont>
      <a:minorFont>
        <a:latin typeface="Aptos"/>
        <a:ea typeface=""/>
        <a:cs typeface=""/>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extension.missouri.edu/publications/g714" TargetMode="External"/><Relationship Id="rId2" Type="http://schemas.openxmlformats.org/officeDocument/2006/relationships/hyperlink" Target="https://extension.missouri.edu/people/mallory-rahe" TargetMode="External"/><Relationship Id="rId1" Type="http://schemas.openxmlformats.org/officeDocument/2006/relationships/hyperlink" Target="https://extension.missouri.edu/programs/commercial-horticulture/find-a-horticulturist-near-yo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9F4B3-BEC6-433D-A8AA-F26AB248039B}">
  <sheetPr>
    <pageSetUpPr fitToPage="1"/>
  </sheetPr>
  <dimension ref="A1:M37"/>
  <sheetViews>
    <sheetView tabSelected="1" workbookViewId="0"/>
  </sheetViews>
  <sheetFormatPr defaultColWidth="0" defaultRowHeight="16.5" customHeight="1" zeroHeight="1" x14ac:dyDescent="0.3"/>
  <cols>
    <col min="1" max="1" width="2.875" style="3" customWidth="1"/>
    <col min="2" max="2" width="32.75" style="3" customWidth="1"/>
    <col min="3" max="3" width="34.625" style="3" customWidth="1"/>
    <col min="4" max="4" width="36.625" style="3" customWidth="1"/>
    <col min="5" max="5" width="3" style="3" customWidth="1"/>
    <col min="6" max="8" width="9" style="3" hidden="1" customWidth="1"/>
    <col min="9" max="13" width="0" style="3" hidden="1" customWidth="1"/>
    <col min="14" max="16384" width="9" style="3" hidden="1"/>
  </cols>
  <sheetData>
    <row r="1" spans="1:13" ht="17.25" thickBot="1" x14ac:dyDescent="0.35">
      <c r="A1" s="2"/>
      <c r="B1" s="4"/>
      <c r="C1" s="4"/>
      <c r="D1" s="4"/>
      <c r="E1" s="2"/>
      <c r="F1" s="2"/>
      <c r="G1" s="2"/>
      <c r="H1" s="2"/>
      <c r="I1" s="2"/>
      <c r="J1" s="2"/>
      <c r="K1" s="2"/>
      <c r="L1" s="2"/>
      <c r="M1" s="2"/>
    </row>
    <row r="2" spans="1:13" ht="19.5" customHeight="1" thickBot="1" x14ac:dyDescent="0.4">
      <c r="A2" s="2"/>
      <c r="B2" s="332" t="s">
        <v>275</v>
      </c>
      <c r="C2" s="333"/>
      <c r="D2" s="334"/>
      <c r="E2" s="2"/>
      <c r="F2" s="2"/>
      <c r="G2" s="2"/>
      <c r="H2" s="2"/>
    </row>
    <row r="3" spans="1:13" ht="16.5" customHeight="1" x14ac:dyDescent="0.3">
      <c r="A3" s="2"/>
      <c r="B3" s="335" t="s">
        <v>271</v>
      </c>
      <c r="C3" s="335"/>
      <c r="D3" s="335"/>
      <c r="E3" s="2"/>
      <c r="F3" s="2"/>
      <c r="G3" s="2"/>
      <c r="H3" s="2"/>
    </row>
    <row r="4" spans="1:13" x14ac:dyDescent="0.3">
      <c r="A4" s="2"/>
      <c r="B4" s="336"/>
      <c r="C4" s="336"/>
      <c r="D4" s="336"/>
      <c r="E4" s="2"/>
      <c r="F4" s="2"/>
      <c r="G4" s="2"/>
      <c r="H4" s="2"/>
    </row>
    <row r="5" spans="1:13" x14ac:dyDescent="0.3">
      <c r="A5" s="2"/>
      <c r="B5" s="8" t="s">
        <v>196</v>
      </c>
      <c r="C5" s="7"/>
      <c r="D5" s="342"/>
      <c r="E5" s="2"/>
      <c r="F5" s="2"/>
      <c r="G5" s="2"/>
      <c r="H5" s="2"/>
    </row>
    <row r="6" spans="1:13" ht="16.5" customHeight="1" x14ac:dyDescent="0.3">
      <c r="A6" s="2"/>
      <c r="B6" s="31"/>
      <c r="C6" s="30"/>
      <c r="D6" s="342"/>
      <c r="E6" s="2"/>
      <c r="F6" s="2"/>
      <c r="G6" s="2"/>
      <c r="H6" s="2"/>
    </row>
    <row r="7" spans="1:13" ht="16.5" customHeight="1" x14ac:dyDescent="0.3">
      <c r="A7" s="2"/>
      <c r="B7" s="70" t="s">
        <v>197</v>
      </c>
      <c r="C7" s="69" t="s">
        <v>164</v>
      </c>
      <c r="D7" s="46"/>
      <c r="E7" s="2"/>
      <c r="F7" s="2"/>
      <c r="G7" s="2"/>
      <c r="H7" s="2"/>
    </row>
    <row r="8" spans="1:13" ht="8.1" customHeight="1" x14ac:dyDescent="0.3">
      <c r="A8" s="2"/>
      <c r="B8" s="68"/>
      <c r="C8" s="70"/>
      <c r="D8" s="46"/>
      <c r="E8" s="2"/>
      <c r="F8" s="2"/>
      <c r="G8" s="2"/>
      <c r="H8" s="2"/>
    </row>
    <row r="9" spans="1:13" ht="16.5" customHeight="1" x14ac:dyDescent="0.3">
      <c r="A9" s="2"/>
      <c r="B9" s="70" t="s">
        <v>63</v>
      </c>
      <c r="C9" s="69" t="s">
        <v>64</v>
      </c>
      <c r="D9" s="46"/>
      <c r="E9" s="2"/>
      <c r="F9" s="2"/>
      <c r="G9" s="2"/>
      <c r="H9" s="2"/>
    </row>
    <row r="10" spans="1:13" x14ac:dyDescent="0.3">
      <c r="A10" s="2"/>
      <c r="B10" s="5"/>
      <c r="C10"/>
      <c r="D10" s="4"/>
      <c r="E10" s="2"/>
      <c r="F10" s="2"/>
      <c r="G10" s="2"/>
      <c r="H10" s="2"/>
    </row>
    <row r="11" spans="1:13" ht="48.6" customHeight="1" x14ac:dyDescent="0.3">
      <c r="A11" s="2"/>
      <c r="B11" s="341" t="s">
        <v>36</v>
      </c>
      <c r="C11" s="341"/>
      <c r="D11" s="341"/>
      <c r="E11" s="2"/>
      <c r="F11" s="2"/>
      <c r="G11" s="2"/>
      <c r="H11" s="2"/>
    </row>
    <row r="12" spans="1:13" ht="63.95" customHeight="1" x14ac:dyDescent="0.3">
      <c r="A12" s="2"/>
      <c r="B12" s="337" t="s">
        <v>272</v>
      </c>
      <c r="C12" s="337"/>
      <c r="D12" s="337"/>
      <c r="F12" s="2"/>
      <c r="G12" s="2"/>
      <c r="H12" s="2"/>
    </row>
    <row r="13" spans="1:13" ht="65.45" customHeight="1" x14ac:dyDescent="0.3">
      <c r="A13" s="2"/>
      <c r="B13" s="337" t="s">
        <v>230</v>
      </c>
      <c r="C13" s="337"/>
      <c r="D13" s="337"/>
      <c r="F13" s="2"/>
      <c r="G13" s="2"/>
      <c r="H13" s="2"/>
    </row>
    <row r="14" spans="1:13" ht="16.5" customHeight="1" x14ac:dyDescent="0.3">
      <c r="A14" s="2"/>
      <c r="B14" s="8" t="s">
        <v>273</v>
      </c>
      <c r="C14" s="6"/>
      <c r="D14" s="6"/>
      <c r="E14" s="2"/>
      <c r="F14" s="2"/>
      <c r="G14" s="2"/>
      <c r="H14" s="2"/>
    </row>
    <row r="15" spans="1:13" ht="16.5" customHeight="1" x14ac:dyDescent="0.3">
      <c r="A15" s="2"/>
      <c r="B15" s="363" t="s">
        <v>274</v>
      </c>
      <c r="C15" s="363"/>
      <c r="D15" s="363"/>
      <c r="E15" s="2"/>
      <c r="F15" s="2"/>
      <c r="G15" s="2"/>
      <c r="H15" s="2"/>
    </row>
    <row r="16" spans="1:13" ht="16.5" customHeight="1" x14ac:dyDescent="0.3">
      <c r="A16" s="2"/>
      <c r="B16" s="6"/>
      <c r="C16" s="6"/>
      <c r="D16" s="6"/>
      <c r="E16" s="2"/>
      <c r="F16" s="2"/>
      <c r="G16" s="2"/>
      <c r="H16" s="2"/>
    </row>
    <row r="17" spans="1:8" ht="16.5" customHeight="1" x14ac:dyDescent="0.3">
      <c r="A17" s="2"/>
      <c r="B17" s="338" t="s">
        <v>0</v>
      </c>
      <c r="C17" s="339"/>
      <c r="D17" s="340"/>
      <c r="E17" s="2"/>
      <c r="F17" s="2"/>
      <c r="G17" s="2"/>
      <c r="H17" s="2"/>
    </row>
    <row r="18" spans="1:8" ht="17.25" thickBot="1" x14ac:dyDescent="0.35">
      <c r="A18" s="2"/>
      <c r="B18" s="4"/>
      <c r="C18" s="4"/>
      <c r="D18" s="4"/>
      <c r="E18" s="2"/>
      <c r="F18" s="2"/>
      <c r="G18" s="2"/>
      <c r="H18" s="2"/>
    </row>
    <row r="19" spans="1:8" ht="19.5" thickBot="1" x14ac:dyDescent="0.35">
      <c r="A19" s="2"/>
      <c r="B19" s="330"/>
      <c r="C19" s="331"/>
      <c r="D19" s="331"/>
      <c r="E19" s="2"/>
      <c r="F19" s="2"/>
      <c r="G19" s="2"/>
      <c r="H19" s="2"/>
    </row>
    <row r="20" spans="1:8" x14ac:dyDescent="0.3">
      <c r="A20" s="2"/>
      <c r="B20" s="2"/>
      <c r="C20" s="2"/>
      <c r="D20" s="2"/>
      <c r="E20" s="2"/>
      <c r="F20" s="2"/>
      <c r="G20" s="2"/>
      <c r="H20" s="2"/>
    </row>
    <row r="21" spans="1:8" hidden="1" x14ac:dyDescent="0.3">
      <c r="A21" s="2"/>
      <c r="B21" s="2"/>
      <c r="C21" s="2"/>
      <c r="D21" s="2"/>
      <c r="E21" s="2"/>
      <c r="F21" s="2"/>
      <c r="G21" s="2"/>
      <c r="H21" s="2"/>
    </row>
    <row r="22" spans="1:8" hidden="1" x14ac:dyDescent="0.3">
      <c r="A22" s="2"/>
      <c r="B22" s="2"/>
      <c r="C22" s="2"/>
      <c r="D22" s="2"/>
      <c r="E22" s="2"/>
      <c r="F22" s="2"/>
      <c r="G22" s="2"/>
      <c r="H22" s="2"/>
    </row>
    <row r="23" spans="1:8" hidden="1" x14ac:dyDescent="0.3">
      <c r="A23" s="2"/>
      <c r="B23" s="2"/>
      <c r="C23" s="2"/>
      <c r="D23" s="2"/>
      <c r="E23" s="2"/>
      <c r="F23" s="2"/>
      <c r="G23" s="2"/>
      <c r="H23" s="2"/>
    </row>
    <row r="24" spans="1:8" hidden="1" x14ac:dyDescent="0.3">
      <c r="A24" s="2"/>
      <c r="B24" s="2"/>
      <c r="C24" s="2"/>
      <c r="D24" s="2"/>
      <c r="E24" s="2"/>
      <c r="F24" s="2"/>
      <c r="G24" s="2"/>
      <c r="H24" s="2"/>
    </row>
    <row r="25" spans="1:8" hidden="1" x14ac:dyDescent="0.3">
      <c r="A25" s="2"/>
      <c r="B25" s="2"/>
      <c r="C25" s="2"/>
      <c r="D25" s="2"/>
      <c r="E25" s="2"/>
      <c r="F25" s="2"/>
      <c r="G25" s="2"/>
      <c r="H25" s="2"/>
    </row>
    <row r="26" spans="1:8" hidden="1" x14ac:dyDescent="0.3">
      <c r="A26" s="2"/>
      <c r="B26" s="2"/>
      <c r="C26" s="2"/>
      <c r="D26" s="2"/>
      <c r="E26" s="2"/>
      <c r="F26" s="2"/>
      <c r="G26" s="2"/>
      <c r="H26" s="2"/>
    </row>
    <row r="27" spans="1:8" hidden="1" x14ac:dyDescent="0.3">
      <c r="A27" s="2"/>
      <c r="B27" s="2"/>
      <c r="C27" s="2"/>
      <c r="D27" s="2"/>
      <c r="E27" s="2"/>
      <c r="F27" s="2"/>
      <c r="G27" s="2"/>
      <c r="H27" s="2"/>
    </row>
    <row r="28" spans="1:8" hidden="1" x14ac:dyDescent="0.3">
      <c r="A28" s="2"/>
      <c r="B28" s="2"/>
      <c r="C28" s="2"/>
      <c r="D28" s="2"/>
      <c r="E28" s="2"/>
      <c r="F28" s="2"/>
      <c r="G28" s="2"/>
      <c r="H28" s="2"/>
    </row>
    <row r="29" spans="1:8" hidden="1" x14ac:dyDescent="0.3">
      <c r="A29" s="2"/>
    </row>
    <row r="30" spans="1:8" hidden="1" x14ac:dyDescent="0.3">
      <c r="A30" s="2"/>
    </row>
    <row r="31" spans="1:8" hidden="1" x14ac:dyDescent="0.3">
      <c r="A31" s="2"/>
    </row>
    <row r="33" s="3" customFormat="1" ht="16.5" hidden="1" customHeight="1" x14ac:dyDescent="0.3"/>
    <row r="34" s="3" customFormat="1" ht="16.5" hidden="1" customHeight="1" x14ac:dyDescent="0.3"/>
    <row r="35" s="3" customFormat="1" ht="16.5" hidden="1" customHeight="1" x14ac:dyDescent="0.3"/>
    <row r="36" s="3" customFormat="1" ht="16.5" hidden="1" customHeight="1" x14ac:dyDescent="0.3"/>
    <row r="37" s="3" customFormat="1" ht="16.5" hidden="1" customHeight="1" x14ac:dyDescent="0.3"/>
  </sheetData>
  <sheetProtection sheet="1" objects="1" scenarios="1"/>
  <mergeCells count="10">
    <mergeCell ref="B19:D19"/>
    <mergeCell ref="B2:D2"/>
    <mergeCell ref="B3:D3"/>
    <mergeCell ref="B4:D4"/>
    <mergeCell ref="B12:D12"/>
    <mergeCell ref="B17:D17"/>
    <mergeCell ref="B11:D11"/>
    <mergeCell ref="D5:D6"/>
    <mergeCell ref="B13:D13"/>
    <mergeCell ref="B15:D15"/>
  </mergeCells>
  <hyperlinks>
    <hyperlink ref="C9" r:id="rId1" xr:uid="{BB3FA1A9-9037-432E-9854-8F52FD82CD63}"/>
    <hyperlink ref="C7" r:id="rId2" xr:uid="{D4EC7127-5736-4977-A6BD-29456AE73FD3}"/>
    <hyperlink ref="B15:D15" r:id="rId3" display="MU Extension publication G714, Blueberry Planning Budget (extension.missouri.edu/publications/g714)" xr:uid="{8B436630-B1EF-48C8-94C5-6615B81D0398}"/>
  </hyperlinks>
  <pageMargins left="0.7" right="0.7" top="0.75" bottom="0.75" header="0.3" footer="0.3"/>
  <pageSetup scale="80" fitToHeight="0"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64766-5483-41F9-BAE9-B4AA5C1DA5B3}">
  <sheetPr>
    <pageSetUpPr fitToPage="1"/>
  </sheetPr>
  <dimension ref="A1:AA71"/>
  <sheetViews>
    <sheetView showGridLines="0" topLeftCell="A27" zoomScale="80" zoomScaleNormal="80" workbookViewId="0">
      <selection activeCell="T45" sqref="T45"/>
    </sheetView>
  </sheetViews>
  <sheetFormatPr defaultColWidth="0" defaultRowHeight="15.95" customHeight="1" zeroHeight="1" x14ac:dyDescent="0.3"/>
  <cols>
    <col min="1" max="1" width="3.125" style="1" customWidth="1"/>
    <col min="2" max="2" width="1.625" style="1" customWidth="1"/>
    <col min="3" max="3" width="33.875" style="1" customWidth="1"/>
    <col min="4" max="4" width="8.125" style="1" customWidth="1"/>
    <col min="5" max="5" width="11" style="1" customWidth="1"/>
    <col min="6" max="6" width="1" style="1" customWidth="1"/>
    <col min="7" max="7" width="8.875" style="1" customWidth="1"/>
    <col min="8" max="8" width="11.625" style="1" customWidth="1"/>
    <col min="9" max="9" width="1.625" style="1" customWidth="1"/>
    <col min="10" max="10" width="8.875" style="1" customWidth="1"/>
    <col min="11" max="11" width="12.125" style="1" customWidth="1"/>
    <col min="12" max="12" width="1.625" style="1" customWidth="1"/>
    <col min="13" max="14" width="10" style="1" customWidth="1"/>
    <col min="15" max="15" width="2.125" style="1" customWidth="1"/>
    <col min="16" max="16" width="8.875" style="1" customWidth="1"/>
    <col min="17" max="17" width="12.125" style="1" customWidth="1"/>
    <col min="18" max="18" width="1.625" style="1" customWidth="1"/>
    <col min="19" max="19" width="8.875" style="1" customWidth="1"/>
    <col min="20" max="20" width="12.125" style="1" customWidth="1"/>
    <col min="21" max="21" width="1.625" style="1" customWidth="1"/>
    <col min="22" max="22" width="3.125" style="1" customWidth="1"/>
    <col min="23" max="26" width="9" style="1" hidden="1" customWidth="1"/>
    <col min="27" max="27" width="0" style="1" hidden="1" customWidth="1"/>
    <col min="28" max="16384" width="9" style="1" hidden="1"/>
  </cols>
  <sheetData>
    <row r="1" spans="1:21" ht="16.5" customHeight="1" x14ac:dyDescent="0.3">
      <c r="B1" s="44"/>
      <c r="C1" s="44"/>
      <c r="D1"/>
      <c r="E1"/>
      <c r="F1"/>
      <c r="G1"/>
      <c r="H1"/>
      <c r="I1"/>
      <c r="J1"/>
      <c r="K1"/>
      <c r="L1"/>
      <c r="M1"/>
      <c r="N1"/>
      <c r="O1"/>
      <c r="P1"/>
      <c r="Q1"/>
      <c r="R1"/>
      <c r="S1"/>
      <c r="T1"/>
    </row>
    <row r="2" spans="1:21" ht="18.75" customHeight="1" x14ac:dyDescent="0.35">
      <c r="B2" s="344" t="s">
        <v>192</v>
      </c>
      <c r="C2" s="345"/>
      <c r="D2" s="345"/>
      <c r="E2" s="345"/>
      <c r="F2" s="345"/>
      <c r="G2" s="345"/>
      <c r="H2" s="345"/>
      <c r="I2" s="345"/>
      <c r="J2" s="345"/>
      <c r="K2" s="345"/>
      <c r="L2" s="345"/>
      <c r="M2" s="345"/>
      <c r="N2" s="345"/>
      <c r="O2" s="345"/>
      <c r="P2" s="345"/>
      <c r="Q2" s="345"/>
      <c r="R2" s="345"/>
      <c r="S2" s="345"/>
      <c r="T2" s="345"/>
      <c r="U2" s="345"/>
    </row>
    <row r="3" spans="1:21" ht="32.450000000000003" customHeight="1" x14ac:dyDescent="0.3">
      <c r="B3" s="47"/>
      <c r="C3" s="47"/>
      <c r="D3" s="47"/>
      <c r="E3" s="47"/>
      <c r="F3" s="47"/>
      <c r="G3" s="343" t="s">
        <v>38</v>
      </c>
      <c r="H3" s="343"/>
      <c r="I3" s="48"/>
      <c r="J3" s="343" t="s">
        <v>39</v>
      </c>
      <c r="K3" s="343"/>
      <c r="L3" s="48"/>
      <c r="M3" s="343" t="s">
        <v>209</v>
      </c>
      <c r="N3" s="343"/>
      <c r="O3" s="207"/>
      <c r="P3" s="343" t="s">
        <v>233</v>
      </c>
      <c r="Q3" s="343"/>
      <c r="R3" s="48"/>
      <c r="S3" s="343" t="s">
        <v>234</v>
      </c>
      <c r="T3" s="343"/>
    </row>
    <row r="4" spans="1:21" ht="35.1" customHeight="1" x14ac:dyDescent="0.35">
      <c r="A4" s="9"/>
      <c r="B4" s="49" t="s">
        <v>15</v>
      </c>
      <c r="C4" s="49"/>
      <c r="D4" s="50" t="s">
        <v>2</v>
      </c>
      <c r="E4" s="51" t="s">
        <v>3</v>
      </c>
      <c r="F4" s="52"/>
      <c r="G4" s="51" t="s">
        <v>4</v>
      </c>
      <c r="H4" s="51" t="s">
        <v>5</v>
      </c>
      <c r="I4" s="53"/>
      <c r="J4" s="51" t="s">
        <v>4</v>
      </c>
      <c r="K4" s="51" t="s">
        <v>6</v>
      </c>
      <c r="L4" s="53"/>
      <c r="M4" s="49" t="s">
        <v>69</v>
      </c>
      <c r="N4" s="284" t="s">
        <v>210</v>
      </c>
      <c r="O4" s="271"/>
      <c r="P4" s="51" t="s">
        <v>4</v>
      </c>
      <c r="Q4" s="51" t="s">
        <v>5</v>
      </c>
      <c r="R4" s="54"/>
      <c r="S4" s="51" t="s">
        <v>4</v>
      </c>
      <c r="T4" s="51" t="s">
        <v>5</v>
      </c>
    </row>
    <row r="5" spans="1:21" ht="15.95" customHeight="1" x14ac:dyDescent="0.35">
      <c r="A5" s="9"/>
      <c r="B5" s="7" t="s">
        <v>46</v>
      </c>
      <c r="C5" s="7"/>
      <c r="D5" s="32" t="s">
        <v>9</v>
      </c>
      <c r="E5" s="211">
        <v>5.5</v>
      </c>
      <c r="F5" s="7"/>
      <c r="G5" s="212">
        <v>0</v>
      </c>
      <c r="H5" s="277">
        <f>E5*G5</f>
        <v>0</v>
      </c>
      <c r="I5" s="7"/>
      <c r="J5" s="212">
        <v>0</v>
      </c>
      <c r="K5" s="260">
        <f>J5*E5</f>
        <v>0</v>
      </c>
      <c r="L5" s="7"/>
      <c r="M5" s="212">
        <v>0</v>
      </c>
      <c r="N5" s="260">
        <f>E5*M5</f>
        <v>0</v>
      </c>
      <c r="O5" s="57"/>
      <c r="P5" s="305">
        <f>3.69*J9</f>
        <v>3346.83</v>
      </c>
      <c r="Q5" s="260">
        <f>IF(P5*E5=0,"",P5*E5)</f>
        <v>18407.564999999999</v>
      </c>
      <c r="R5" s="7"/>
      <c r="S5" s="305">
        <f>J9*7.6</f>
        <v>6893.2</v>
      </c>
      <c r="T5" s="260">
        <f>S5*E5</f>
        <v>37912.6</v>
      </c>
    </row>
    <row r="6" spans="1:21" ht="15.95" customHeight="1" x14ac:dyDescent="0.35">
      <c r="A6" s="9"/>
      <c r="B6" s="7" t="s">
        <v>166</v>
      </c>
      <c r="C6" s="7"/>
      <c r="D6" s="32" t="s">
        <v>167</v>
      </c>
      <c r="E6" s="211"/>
      <c r="F6" s="7"/>
      <c r="G6" s="212"/>
      <c r="H6" s="260">
        <f>E6*G6</f>
        <v>0</v>
      </c>
      <c r="I6" s="7"/>
      <c r="J6" s="212"/>
      <c r="K6" s="260">
        <f>J6*E6</f>
        <v>0</v>
      </c>
      <c r="L6" s="7"/>
      <c r="M6" s="212"/>
      <c r="N6" s="260">
        <f>E6*M6</f>
        <v>0</v>
      </c>
      <c r="O6" s="57"/>
      <c r="P6" s="213"/>
      <c r="Q6" s="260">
        <f>P6*E6</f>
        <v>0</v>
      </c>
      <c r="R6" s="7"/>
      <c r="S6" s="213"/>
      <c r="T6" s="260" t="str">
        <f>IF(S6*E6=0,"",S6*E6)</f>
        <v/>
      </c>
    </row>
    <row r="7" spans="1:21" ht="15.95" customHeight="1" x14ac:dyDescent="0.35">
      <c r="A7" s="9"/>
      <c r="C7" s="56" t="s">
        <v>16</v>
      </c>
      <c r="D7"/>
      <c r="E7" s="7"/>
      <c r="F7" s="7"/>
      <c r="G7" s="7"/>
      <c r="H7" s="260">
        <f>H5+H6</f>
        <v>0</v>
      </c>
      <c r="I7" s="7"/>
      <c r="J7" s="7"/>
      <c r="K7" s="260">
        <f>K5+K6</f>
        <v>0</v>
      </c>
      <c r="L7" s="7"/>
      <c r="M7" s="7"/>
      <c r="N7" s="260">
        <f>N5+N6</f>
        <v>0</v>
      </c>
      <c r="O7" s="57"/>
      <c r="P7" s="7"/>
      <c r="Q7" s="260">
        <f>Q5+Q6</f>
        <v>18407.564999999999</v>
      </c>
      <c r="R7" s="7"/>
      <c r="S7" s="7"/>
      <c r="T7" s="260">
        <f>T5</f>
        <v>37912.6</v>
      </c>
    </row>
    <row r="8" spans="1:21" ht="35.1" customHeight="1" x14ac:dyDescent="0.35">
      <c r="A8" s="9"/>
      <c r="B8" s="49" t="s">
        <v>17</v>
      </c>
      <c r="C8" s="49"/>
      <c r="D8" s="50" t="s">
        <v>2</v>
      </c>
      <c r="E8" s="51" t="s">
        <v>3</v>
      </c>
      <c r="F8" s="52"/>
      <c r="G8" s="51" t="s">
        <v>4</v>
      </c>
      <c r="H8" s="262" t="s">
        <v>5</v>
      </c>
      <c r="I8" s="53"/>
      <c r="J8" s="51" t="s">
        <v>4</v>
      </c>
      <c r="K8" s="262" t="s">
        <v>5</v>
      </c>
      <c r="L8" s="53"/>
      <c r="M8" s="51" t="s">
        <v>4</v>
      </c>
      <c r="N8" s="262" t="s">
        <v>5</v>
      </c>
      <c r="O8" s="53"/>
      <c r="P8" s="51" t="s">
        <v>4</v>
      </c>
      <c r="Q8" s="51" t="s">
        <v>5</v>
      </c>
      <c r="R8" s="54"/>
      <c r="S8" s="51" t="s">
        <v>4</v>
      </c>
      <c r="T8" s="51" t="s">
        <v>5</v>
      </c>
    </row>
    <row r="9" spans="1:21" ht="15.95" customHeight="1" x14ac:dyDescent="0.35">
      <c r="A9" s="9"/>
      <c r="B9" s="7" t="s">
        <v>47</v>
      </c>
      <c r="C9" s="7"/>
      <c r="D9" s="32" t="s">
        <v>7</v>
      </c>
      <c r="E9" s="10">
        <v>5.5</v>
      </c>
      <c r="F9" s="7"/>
      <c r="G9" s="11"/>
      <c r="H9" s="260" t="str">
        <f t="shared" ref="H9:H40" si="0">IF(G9*E9=0, "",G9*E9)</f>
        <v/>
      </c>
      <c r="I9" s="7"/>
      <c r="J9" s="252">
        <f>'Financial Sensitivity'!R3</f>
        <v>907</v>
      </c>
      <c r="K9" s="260">
        <f t="shared" ref="K9:K39" si="1">IF(J9*E9=0,"",J9*E9)</f>
        <v>4988.5</v>
      </c>
      <c r="L9" s="7"/>
      <c r="M9" s="265">
        <f>ROUNDUP(J9*0.03,0)</f>
        <v>28</v>
      </c>
      <c r="N9" s="260">
        <f t="shared" ref="N9:N39" si="2">IF(M9*E9=0,"",M9*E9)</f>
        <v>154</v>
      </c>
      <c r="O9" s="7"/>
      <c r="P9" s="13">
        <f>ROUNDUP(J9*0.03,0)</f>
        <v>28</v>
      </c>
      <c r="Q9" s="260">
        <f t="shared" ref="Q9:Q40" si="3">IF(P9*E9=0,"",P9*E9)</f>
        <v>154</v>
      </c>
      <c r="R9" s="7"/>
      <c r="S9" s="251">
        <f>ROUNDUP(J9*0.03,0)</f>
        <v>28</v>
      </c>
      <c r="T9" s="260">
        <f t="shared" ref="T9:T40" si="4">IF(S9*E9=0,"",S9*E9)</f>
        <v>154</v>
      </c>
    </row>
    <row r="10" spans="1:21" ht="15.95" customHeight="1" x14ac:dyDescent="0.35">
      <c r="A10" s="9"/>
      <c r="B10" s="48" t="s">
        <v>198</v>
      </c>
      <c r="C10" s="7"/>
      <c r="D10" s="32"/>
      <c r="E10" s="208"/>
      <c r="F10" s="7"/>
      <c r="G10" s="253"/>
      <c r="H10" s="260" t="str">
        <f t="shared" si="0"/>
        <v/>
      </c>
      <c r="I10" s="7"/>
      <c r="J10" s="253"/>
      <c r="K10" s="260" t="str">
        <f t="shared" si="1"/>
        <v/>
      </c>
      <c r="L10" s="7"/>
      <c r="M10" s="7"/>
      <c r="N10" s="260" t="str">
        <f t="shared" si="2"/>
        <v/>
      </c>
      <c r="O10" s="7"/>
      <c r="P10" s="210"/>
      <c r="Q10" s="260" t="str">
        <f t="shared" si="3"/>
        <v/>
      </c>
      <c r="R10" s="7"/>
      <c r="S10" s="253"/>
      <c r="T10" s="260" t="str">
        <f t="shared" si="4"/>
        <v/>
      </c>
    </row>
    <row r="11" spans="1:21" ht="15.95" customHeight="1" x14ac:dyDescent="0.35">
      <c r="A11" s="9"/>
      <c r="B11" s="272"/>
      <c r="C11" s="86" t="s">
        <v>49</v>
      </c>
      <c r="D11" s="32" t="s">
        <v>9</v>
      </c>
      <c r="E11" s="195">
        <v>8.4700000000000006</v>
      </c>
      <c r="F11" s="7"/>
      <c r="G11" s="251">
        <v>3</v>
      </c>
      <c r="H11" s="260">
        <f t="shared" si="0"/>
        <v>25.410000000000004</v>
      </c>
      <c r="I11" s="7"/>
      <c r="J11" s="251"/>
      <c r="K11" s="260" t="str">
        <f t="shared" si="1"/>
        <v/>
      </c>
      <c r="L11" s="7"/>
      <c r="M11" s="265"/>
      <c r="N11" s="260" t="str">
        <f t="shared" si="2"/>
        <v/>
      </c>
      <c r="O11" s="7"/>
      <c r="P11" s="13"/>
      <c r="Q11" s="260" t="str">
        <f t="shared" si="3"/>
        <v/>
      </c>
      <c r="R11" s="7"/>
      <c r="S11" s="251"/>
      <c r="T11" s="260" t="str">
        <f t="shared" si="4"/>
        <v/>
      </c>
    </row>
    <row r="12" spans="1:21" ht="15.95" customHeight="1" x14ac:dyDescent="0.35">
      <c r="A12" s="9"/>
      <c r="B12" s="272"/>
      <c r="C12" s="86" t="s">
        <v>50</v>
      </c>
      <c r="D12" s="32" t="s">
        <v>9</v>
      </c>
      <c r="E12" s="195">
        <v>1.34</v>
      </c>
      <c r="F12" s="7"/>
      <c r="G12" s="251">
        <v>30</v>
      </c>
      <c r="H12" s="260">
        <f t="shared" si="0"/>
        <v>40.200000000000003</v>
      </c>
      <c r="I12" s="7"/>
      <c r="J12" s="251"/>
      <c r="K12" s="260" t="str">
        <f t="shared" si="1"/>
        <v/>
      </c>
      <c r="L12" s="7"/>
      <c r="M12" s="265"/>
      <c r="N12" s="260" t="str">
        <f t="shared" si="2"/>
        <v/>
      </c>
      <c r="O12" s="7"/>
      <c r="P12" s="13"/>
      <c r="Q12" s="260" t="str">
        <f t="shared" si="3"/>
        <v/>
      </c>
      <c r="R12" s="7"/>
      <c r="S12" s="251"/>
      <c r="T12" s="260" t="str">
        <f t="shared" si="4"/>
        <v/>
      </c>
    </row>
    <row r="13" spans="1:21" ht="15.95" customHeight="1" x14ac:dyDescent="0.35">
      <c r="A13" s="9"/>
      <c r="B13" s="272"/>
      <c r="C13" s="273" t="s">
        <v>216</v>
      </c>
      <c r="D13" s="32" t="s">
        <v>9</v>
      </c>
      <c r="E13" s="10">
        <v>3</v>
      </c>
      <c r="F13" s="7"/>
      <c r="G13" s="251"/>
      <c r="H13" s="260" t="str">
        <f t="shared" si="0"/>
        <v/>
      </c>
      <c r="I13" s="7"/>
      <c r="J13" s="251">
        <v>10</v>
      </c>
      <c r="K13" s="260">
        <f t="shared" si="1"/>
        <v>30</v>
      </c>
      <c r="L13" s="7"/>
      <c r="M13" s="265"/>
      <c r="N13" s="260" t="str">
        <f t="shared" si="2"/>
        <v/>
      </c>
      <c r="O13" s="7"/>
      <c r="P13" s="13"/>
      <c r="Q13" s="260" t="str">
        <f t="shared" si="3"/>
        <v/>
      </c>
      <c r="R13" s="7"/>
      <c r="S13" s="251"/>
      <c r="T13" s="260" t="str">
        <f t="shared" si="4"/>
        <v/>
      </c>
    </row>
    <row r="14" spans="1:21" ht="15.95" customHeight="1" x14ac:dyDescent="0.35">
      <c r="A14" s="9"/>
      <c r="C14" s="7" t="s">
        <v>55</v>
      </c>
      <c r="D14" s="32" t="s">
        <v>40</v>
      </c>
      <c r="E14" s="10">
        <v>0.74</v>
      </c>
      <c r="F14" s="7"/>
      <c r="G14" s="251"/>
      <c r="H14" s="260" t="str">
        <f>IF(G14*E14=0, "",G14*E14)</f>
        <v/>
      </c>
      <c r="I14" s="7"/>
      <c r="J14" s="251">
        <f>J9*2</f>
        <v>1814</v>
      </c>
      <c r="K14" s="260">
        <f>IF(J14*E14=0,"",J14*E14)</f>
        <v>1342.36</v>
      </c>
      <c r="L14" s="7"/>
      <c r="M14" s="265"/>
      <c r="N14" s="260" t="str">
        <f>IF(M14*E14=0,"",M14*E14)</f>
        <v/>
      </c>
      <c r="O14" s="7"/>
      <c r="P14" s="265"/>
      <c r="Q14" s="260" t="str">
        <f>IF(P14*E14=0,"",P14*E14)</f>
        <v/>
      </c>
      <c r="R14" s="7"/>
      <c r="S14" s="251"/>
      <c r="T14" s="260" t="str">
        <f>IF(S14*E14=0,"",S14*E14)</f>
        <v/>
      </c>
    </row>
    <row r="15" spans="1:21" ht="15.95" customHeight="1" x14ac:dyDescent="0.35">
      <c r="A15" s="9"/>
      <c r="B15" s="272"/>
      <c r="C15" s="273" t="s">
        <v>211</v>
      </c>
      <c r="D15" s="32" t="s">
        <v>37</v>
      </c>
      <c r="E15" s="10">
        <v>32</v>
      </c>
      <c r="F15" s="7"/>
      <c r="G15" s="251"/>
      <c r="H15" s="260" t="str">
        <f t="shared" si="0"/>
        <v/>
      </c>
      <c r="I15" s="7"/>
      <c r="J15" s="251">
        <v>12</v>
      </c>
      <c r="K15" s="260">
        <f t="shared" si="1"/>
        <v>384</v>
      </c>
      <c r="L15" s="7"/>
      <c r="M15" s="265"/>
      <c r="N15" s="260" t="str">
        <f t="shared" si="2"/>
        <v/>
      </c>
      <c r="O15" s="7"/>
      <c r="P15" s="13"/>
      <c r="Q15" s="260" t="str">
        <f t="shared" si="3"/>
        <v/>
      </c>
      <c r="R15" s="7"/>
      <c r="S15" s="251"/>
      <c r="T15" s="260" t="str">
        <f t="shared" si="4"/>
        <v/>
      </c>
    </row>
    <row r="16" spans="1:21" ht="15.95" customHeight="1" x14ac:dyDescent="0.35">
      <c r="A16" s="9"/>
      <c r="B16" s="272"/>
      <c r="C16" s="7" t="s">
        <v>212</v>
      </c>
      <c r="D16" s="32" t="s">
        <v>7</v>
      </c>
      <c r="E16" s="195">
        <v>76.959999999999994</v>
      </c>
      <c r="F16" s="7"/>
      <c r="G16" s="251"/>
      <c r="H16" s="260" t="str">
        <f t="shared" si="0"/>
        <v/>
      </c>
      <c r="I16" s="7"/>
      <c r="J16" s="251">
        <v>15</v>
      </c>
      <c r="K16" s="260">
        <f t="shared" si="1"/>
        <v>1154.3999999999999</v>
      </c>
      <c r="L16" s="7"/>
      <c r="M16" s="265"/>
      <c r="N16" s="260" t="str">
        <f t="shared" si="2"/>
        <v/>
      </c>
      <c r="O16" s="7"/>
      <c r="P16" s="13"/>
      <c r="Q16" s="260" t="str">
        <f t="shared" si="3"/>
        <v/>
      </c>
      <c r="R16" s="7"/>
      <c r="S16" s="251"/>
      <c r="T16" s="260" t="str">
        <f t="shared" si="4"/>
        <v/>
      </c>
    </row>
    <row r="17" spans="1:20" ht="15.95" customHeight="1" x14ac:dyDescent="0.35">
      <c r="A17" s="9"/>
      <c r="B17" s="7" t="s">
        <v>134</v>
      </c>
      <c r="C17" s="7"/>
      <c r="D17" s="32"/>
      <c r="E17" s="208"/>
      <c r="F17" s="7"/>
      <c r="G17" s="253"/>
      <c r="H17" s="260" t="str">
        <f t="shared" si="0"/>
        <v/>
      </c>
      <c r="I17" s="7"/>
      <c r="J17" s="253"/>
      <c r="K17" s="260" t="str">
        <f t="shared" si="1"/>
        <v/>
      </c>
      <c r="L17" s="7"/>
      <c r="M17" s="7"/>
      <c r="N17" s="260" t="str">
        <f t="shared" si="2"/>
        <v/>
      </c>
      <c r="O17" s="7"/>
      <c r="P17" s="210"/>
      <c r="Q17" s="260" t="str">
        <f t="shared" si="3"/>
        <v/>
      </c>
      <c r="R17" s="7"/>
      <c r="S17" s="253"/>
      <c r="T17" s="260" t="str">
        <f t="shared" si="4"/>
        <v/>
      </c>
    </row>
    <row r="18" spans="1:20" ht="15.95" customHeight="1" x14ac:dyDescent="0.35">
      <c r="A18" s="9"/>
      <c r="C18" s="7" t="s">
        <v>48</v>
      </c>
      <c r="D18" s="32" t="s">
        <v>7</v>
      </c>
      <c r="E18" s="10">
        <v>15</v>
      </c>
      <c r="F18" s="7"/>
      <c r="G18" s="251">
        <v>2</v>
      </c>
      <c r="H18" s="260">
        <f t="shared" si="0"/>
        <v>30</v>
      </c>
      <c r="I18" s="7"/>
      <c r="J18" s="251">
        <v>1</v>
      </c>
      <c r="K18" s="260">
        <f t="shared" si="1"/>
        <v>15</v>
      </c>
      <c r="L18" s="7"/>
      <c r="M18" s="265">
        <v>1</v>
      </c>
      <c r="N18" s="260">
        <f t="shared" si="2"/>
        <v>15</v>
      </c>
      <c r="O18" s="7"/>
      <c r="P18" s="265">
        <v>1</v>
      </c>
      <c r="Q18" s="260">
        <f t="shared" si="3"/>
        <v>15</v>
      </c>
      <c r="R18" s="7"/>
      <c r="S18" s="251">
        <v>1</v>
      </c>
      <c r="T18" s="260">
        <f t="shared" si="4"/>
        <v>15</v>
      </c>
    </row>
    <row r="19" spans="1:20" ht="15.95" customHeight="1" x14ac:dyDescent="0.35">
      <c r="A19" s="9"/>
      <c r="C19" s="7" t="s">
        <v>141</v>
      </c>
      <c r="D19" s="32" t="s">
        <v>7</v>
      </c>
      <c r="E19" s="10">
        <v>40</v>
      </c>
      <c r="F19" s="7"/>
      <c r="G19" s="251"/>
      <c r="H19" s="260" t="str">
        <f t="shared" si="0"/>
        <v/>
      </c>
      <c r="I19" s="7"/>
      <c r="J19" s="251"/>
      <c r="K19" s="260" t="str">
        <f t="shared" si="1"/>
        <v/>
      </c>
      <c r="L19" s="7"/>
      <c r="M19" s="265">
        <v>1</v>
      </c>
      <c r="N19" s="260">
        <f t="shared" si="2"/>
        <v>40</v>
      </c>
      <c r="O19" s="7"/>
      <c r="P19" s="265">
        <v>1</v>
      </c>
      <c r="Q19" s="260">
        <f t="shared" si="3"/>
        <v>40</v>
      </c>
      <c r="R19" s="7"/>
      <c r="S19" s="251">
        <v>1</v>
      </c>
      <c r="T19" s="260">
        <f t="shared" si="4"/>
        <v>40</v>
      </c>
    </row>
    <row r="20" spans="1:20" ht="15.95" customHeight="1" x14ac:dyDescent="0.35">
      <c r="A20" s="9"/>
      <c r="C20" s="7" t="s">
        <v>56</v>
      </c>
      <c r="D20" s="32" t="s">
        <v>57</v>
      </c>
      <c r="E20" s="10">
        <f>Chemicals!H4</f>
        <v>49</v>
      </c>
      <c r="F20" s="7"/>
      <c r="G20" s="251"/>
      <c r="H20" s="260" t="str">
        <f t="shared" si="0"/>
        <v/>
      </c>
      <c r="I20" s="7"/>
      <c r="J20" s="251">
        <v>100</v>
      </c>
      <c r="K20" s="260">
        <f t="shared" si="1"/>
        <v>4900</v>
      </c>
      <c r="L20" s="7"/>
      <c r="M20" s="265"/>
      <c r="N20" s="260" t="str">
        <f t="shared" si="2"/>
        <v/>
      </c>
      <c r="O20" s="7"/>
      <c r="P20" s="265">
        <v>10</v>
      </c>
      <c r="Q20" s="260">
        <f t="shared" si="3"/>
        <v>490</v>
      </c>
      <c r="R20" s="7"/>
      <c r="S20" s="251">
        <v>10</v>
      </c>
      <c r="T20" s="260">
        <f t="shared" si="4"/>
        <v>490</v>
      </c>
    </row>
    <row r="21" spans="1:20" ht="15.95" customHeight="1" x14ac:dyDescent="0.35">
      <c r="A21" s="9"/>
      <c r="C21" s="7" t="s">
        <v>58</v>
      </c>
      <c r="D21" s="32" t="s">
        <v>9</v>
      </c>
      <c r="E21" s="10">
        <v>0.45</v>
      </c>
      <c r="F21" s="7"/>
      <c r="G21" s="251"/>
      <c r="H21" s="260" t="str">
        <f t="shared" si="0"/>
        <v/>
      </c>
      <c r="I21" s="7"/>
      <c r="J21" s="251">
        <v>10</v>
      </c>
      <c r="K21" s="260">
        <f t="shared" si="1"/>
        <v>4.5</v>
      </c>
      <c r="L21" s="7"/>
      <c r="M21" s="265">
        <v>105</v>
      </c>
      <c r="N21" s="260">
        <f t="shared" si="2"/>
        <v>47.25</v>
      </c>
      <c r="O21" s="7"/>
      <c r="P21" s="265">
        <v>105</v>
      </c>
      <c r="Q21" s="260">
        <f t="shared" si="3"/>
        <v>47.25</v>
      </c>
      <c r="R21" s="7"/>
      <c r="S21" s="251">
        <v>105</v>
      </c>
      <c r="T21" s="260">
        <f t="shared" si="4"/>
        <v>47.25</v>
      </c>
    </row>
    <row r="22" spans="1:20" ht="15.95" customHeight="1" x14ac:dyDescent="0.35">
      <c r="A22" s="9"/>
      <c r="C22" s="7" t="s">
        <v>43</v>
      </c>
      <c r="D22" s="32" t="s">
        <v>9</v>
      </c>
      <c r="E22" s="10">
        <v>0.55000000000000004</v>
      </c>
      <c r="F22" s="7"/>
      <c r="G22" s="251">
        <v>14</v>
      </c>
      <c r="H22" s="260">
        <f t="shared" si="0"/>
        <v>7.7000000000000011</v>
      </c>
      <c r="I22" s="7"/>
      <c r="J22" s="251"/>
      <c r="K22" s="260" t="str">
        <f t="shared" si="1"/>
        <v/>
      </c>
      <c r="L22" s="7"/>
      <c r="M22" s="265"/>
      <c r="N22" s="260" t="str">
        <f t="shared" si="2"/>
        <v/>
      </c>
      <c r="O22" s="7"/>
      <c r="P22" s="265"/>
      <c r="Q22" s="260" t="str">
        <f t="shared" si="3"/>
        <v/>
      </c>
      <c r="R22" s="7"/>
      <c r="S22" s="251"/>
      <c r="T22" s="260" t="str">
        <f t="shared" si="4"/>
        <v/>
      </c>
    </row>
    <row r="23" spans="1:20" ht="15.95" customHeight="1" x14ac:dyDescent="0.35">
      <c r="A23" s="9"/>
      <c r="C23" s="7" t="s">
        <v>44</v>
      </c>
      <c r="D23" s="32" t="s">
        <v>9</v>
      </c>
      <c r="E23" s="10">
        <v>0.38</v>
      </c>
      <c r="F23" s="7"/>
      <c r="G23" s="251"/>
      <c r="H23" s="260" t="str">
        <f t="shared" si="0"/>
        <v/>
      </c>
      <c r="I23" s="7"/>
      <c r="J23" s="251"/>
      <c r="K23" s="260" t="str">
        <f t="shared" si="1"/>
        <v/>
      </c>
      <c r="L23" s="7"/>
      <c r="M23" s="265"/>
      <c r="N23" s="260" t="str">
        <f t="shared" si="2"/>
        <v/>
      </c>
      <c r="O23" s="7"/>
      <c r="P23" s="265"/>
      <c r="Q23" s="260" t="str">
        <f t="shared" si="3"/>
        <v/>
      </c>
      <c r="R23" s="7"/>
      <c r="S23" s="251"/>
      <c r="T23" s="260" t="str">
        <f t="shared" si="4"/>
        <v/>
      </c>
    </row>
    <row r="24" spans="1:20" ht="15.95" customHeight="1" x14ac:dyDescent="0.35">
      <c r="A24" s="9"/>
      <c r="C24" s="7" t="s">
        <v>59</v>
      </c>
      <c r="D24" s="32" t="s">
        <v>9</v>
      </c>
      <c r="E24" s="10">
        <f>Chemicals!H3</f>
        <v>0.55000000000000004</v>
      </c>
      <c r="F24" s="7"/>
      <c r="G24" s="251">
        <v>1000</v>
      </c>
      <c r="H24" s="260">
        <f t="shared" si="0"/>
        <v>550</v>
      </c>
      <c r="I24" s="7"/>
      <c r="J24" s="251">
        <v>1000</v>
      </c>
      <c r="K24" s="260">
        <f t="shared" si="1"/>
        <v>550</v>
      </c>
      <c r="L24" s="7"/>
      <c r="M24" s="265">
        <v>90</v>
      </c>
      <c r="N24" s="260">
        <f t="shared" si="2"/>
        <v>49.500000000000007</v>
      </c>
      <c r="O24" s="7"/>
      <c r="P24" s="265">
        <v>90</v>
      </c>
      <c r="Q24" s="260">
        <f t="shared" si="3"/>
        <v>49.500000000000007</v>
      </c>
      <c r="R24" s="7"/>
      <c r="S24" s="251">
        <v>100</v>
      </c>
      <c r="T24" s="260">
        <f t="shared" si="4"/>
        <v>55.000000000000007</v>
      </c>
    </row>
    <row r="25" spans="1:20" ht="15.95" customHeight="1" x14ac:dyDescent="0.35">
      <c r="A25" s="9"/>
      <c r="B25" s="7" t="s">
        <v>87</v>
      </c>
      <c r="C25" s="7"/>
      <c r="D25" s="32"/>
      <c r="E25" s="28"/>
      <c r="F25" s="7"/>
      <c r="G25" s="62"/>
      <c r="H25" s="260" t="str">
        <f t="shared" si="0"/>
        <v/>
      </c>
      <c r="I25" s="7"/>
      <c r="J25" s="62"/>
      <c r="K25" s="260" t="str">
        <f t="shared" si="1"/>
        <v/>
      </c>
      <c r="L25" s="7"/>
      <c r="M25" s="7"/>
      <c r="N25" s="260" t="str">
        <f t="shared" si="2"/>
        <v/>
      </c>
      <c r="O25" s="7"/>
      <c r="P25" s="59"/>
      <c r="Q25" s="260" t="str">
        <f t="shared" si="3"/>
        <v/>
      </c>
      <c r="R25" s="7"/>
      <c r="S25" s="62"/>
      <c r="T25" s="260" t="str">
        <f t="shared" si="4"/>
        <v/>
      </c>
    </row>
    <row r="26" spans="1:20" ht="15.95" customHeight="1" x14ac:dyDescent="0.35">
      <c r="A26" s="9"/>
      <c r="C26" s="7" t="s">
        <v>75</v>
      </c>
      <c r="D26" s="32" t="s">
        <v>9</v>
      </c>
      <c r="E26" s="10">
        <f>Chemicals!B17</f>
        <v>14.550000000000002</v>
      </c>
      <c r="F26" s="7"/>
      <c r="G26" s="251"/>
      <c r="H26" s="260" t="str">
        <f t="shared" si="0"/>
        <v/>
      </c>
      <c r="I26" s="7"/>
      <c r="J26" s="251"/>
      <c r="K26" s="260" t="str">
        <f t="shared" si="1"/>
        <v/>
      </c>
      <c r="L26" s="7"/>
      <c r="M26" s="13">
        <f>Chemicals!C17</f>
        <v>14.5</v>
      </c>
      <c r="N26" s="260">
        <f t="shared" si="2"/>
        <v>210.97500000000002</v>
      </c>
      <c r="O26" s="7"/>
      <c r="P26" s="13">
        <f>Chemicals!C17</f>
        <v>14.5</v>
      </c>
      <c r="Q26" s="260">
        <f t="shared" si="3"/>
        <v>210.97500000000002</v>
      </c>
      <c r="R26" s="7"/>
      <c r="S26" s="11">
        <f>Chemicals!C17</f>
        <v>14.5</v>
      </c>
      <c r="T26" s="260">
        <f t="shared" si="4"/>
        <v>210.97500000000002</v>
      </c>
    </row>
    <row r="27" spans="1:20" ht="15.95" customHeight="1" x14ac:dyDescent="0.35">
      <c r="A27" s="9"/>
      <c r="C27" s="7" t="s">
        <v>77</v>
      </c>
      <c r="D27" s="32" t="s">
        <v>41</v>
      </c>
      <c r="E27" s="10">
        <f>Chemicals!B18</f>
        <v>10.305</v>
      </c>
      <c r="F27" s="7"/>
      <c r="G27" s="251"/>
      <c r="H27" s="260" t="str">
        <f t="shared" si="0"/>
        <v/>
      </c>
      <c r="I27" s="7"/>
      <c r="J27" s="251"/>
      <c r="K27" s="260" t="str">
        <f t="shared" si="1"/>
        <v/>
      </c>
      <c r="L27" s="7"/>
      <c r="M27" s="13">
        <f>Chemicals!C18</f>
        <v>3.6750000000000003</v>
      </c>
      <c r="N27" s="260">
        <f t="shared" si="2"/>
        <v>37.870875000000005</v>
      </c>
      <c r="O27" s="7"/>
      <c r="P27" s="13">
        <f>Chemicals!C18</f>
        <v>3.6750000000000003</v>
      </c>
      <c r="Q27" s="260">
        <f t="shared" si="3"/>
        <v>37.870875000000005</v>
      </c>
      <c r="R27" s="7"/>
      <c r="S27" s="11">
        <f>Chemicals!C18</f>
        <v>3.6750000000000003</v>
      </c>
      <c r="T27" s="260">
        <f t="shared" si="4"/>
        <v>37.870875000000005</v>
      </c>
    </row>
    <row r="28" spans="1:20" ht="15.95" customHeight="1" x14ac:dyDescent="0.35">
      <c r="A28" s="9"/>
      <c r="C28" s="7" t="s">
        <v>78</v>
      </c>
      <c r="D28" s="32" t="s">
        <v>40</v>
      </c>
      <c r="E28" s="10">
        <f>Chemicals!B19</f>
        <v>0.47</v>
      </c>
      <c r="F28" s="7"/>
      <c r="G28" s="251"/>
      <c r="H28" s="260" t="str">
        <f t="shared" si="0"/>
        <v/>
      </c>
      <c r="I28" s="7"/>
      <c r="J28" s="251"/>
      <c r="K28" s="260" t="str">
        <f t="shared" si="1"/>
        <v/>
      </c>
      <c r="L28" s="7"/>
      <c r="M28" s="13">
        <f>Chemicals!C19</f>
        <v>11</v>
      </c>
      <c r="N28" s="260">
        <f t="shared" si="2"/>
        <v>5.17</v>
      </c>
      <c r="O28" s="7"/>
      <c r="P28" s="13">
        <f>Chemicals!C19</f>
        <v>11</v>
      </c>
      <c r="Q28" s="260">
        <f t="shared" si="3"/>
        <v>5.17</v>
      </c>
      <c r="R28" s="7"/>
      <c r="S28" s="11">
        <f>Chemicals!C19</f>
        <v>11</v>
      </c>
      <c r="T28" s="260">
        <f t="shared" si="4"/>
        <v>5.17</v>
      </c>
    </row>
    <row r="29" spans="1:20" ht="15.95" customHeight="1" x14ac:dyDescent="0.35">
      <c r="A29" s="9"/>
      <c r="B29" s="7" t="s">
        <v>42</v>
      </c>
      <c r="C29" s="7"/>
      <c r="D29" s="32"/>
      <c r="E29" s="45"/>
      <c r="F29" s="7"/>
      <c r="G29" s="62"/>
      <c r="H29" s="260" t="str">
        <f t="shared" si="0"/>
        <v/>
      </c>
      <c r="I29" s="7"/>
      <c r="J29" s="62"/>
      <c r="K29" s="260" t="str">
        <f t="shared" si="1"/>
        <v/>
      </c>
      <c r="L29" s="7"/>
      <c r="M29" s="59"/>
      <c r="N29" s="260" t="str">
        <f t="shared" si="2"/>
        <v/>
      </c>
      <c r="O29" s="7"/>
      <c r="P29" s="59"/>
      <c r="Q29" s="260" t="str">
        <f t="shared" si="3"/>
        <v/>
      </c>
      <c r="R29" s="7"/>
      <c r="S29" s="58"/>
      <c r="T29" s="260" t="str">
        <f t="shared" si="4"/>
        <v/>
      </c>
    </row>
    <row r="30" spans="1:20" ht="15.95" customHeight="1" x14ac:dyDescent="0.35">
      <c r="A30" s="9"/>
      <c r="B30" s="7"/>
      <c r="C30" s="48" t="s">
        <v>214</v>
      </c>
      <c r="D30" s="32" t="s">
        <v>37</v>
      </c>
      <c r="E30" s="211">
        <f>Machinery!$M$16</f>
        <v>18.5</v>
      </c>
      <c r="F30" s="7"/>
      <c r="G30" s="254"/>
      <c r="H30" s="260" t="str">
        <f t="shared" si="0"/>
        <v/>
      </c>
      <c r="I30" s="7"/>
      <c r="J30" s="256">
        <v>50</v>
      </c>
      <c r="K30" s="260">
        <f t="shared" si="1"/>
        <v>925</v>
      </c>
      <c r="L30" s="7"/>
      <c r="M30" s="225"/>
      <c r="N30" s="260" t="str">
        <f t="shared" si="2"/>
        <v/>
      </c>
      <c r="O30" s="7"/>
      <c r="P30" s="213"/>
      <c r="Q30" s="260" t="str">
        <f t="shared" si="3"/>
        <v/>
      </c>
      <c r="R30" s="7"/>
      <c r="S30" s="222"/>
      <c r="T30" s="260" t="str">
        <f t="shared" si="4"/>
        <v/>
      </c>
    </row>
    <row r="31" spans="1:20" ht="15.95" customHeight="1" x14ac:dyDescent="0.35">
      <c r="A31" s="9"/>
      <c r="B31" s="7"/>
      <c r="C31" s="48" t="s">
        <v>226</v>
      </c>
      <c r="D31" s="32" t="s">
        <v>37</v>
      </c>
      <c r="E31" s="211">
        <f>Machinery!$M$16</f>
        <v>18.5</v>
      </c>
      <c r="F31" s="7"/>
      <c r="G31" s="256">
        <f>Machinery!E10</f>
        <v>1.591</v>
      </c>
      <c r="H31" s="260">
        <f t="shared" si="0"/>
        <v>29.433499999999999</v>
      </c>
      <c r="I31" s="7"/>
      <c r="J31" s="255">
        <f>Machinery!E21-J35</f>
        <v>8.9789999999999992</v>
      </c>
      <c r="K31" s="260">
        <f t="shared" si="1"/>
        <v>166.11149999999998</v>
      </c>
      <c r="L31" s="7"/>
      <c r="M31" s="213">
        <f>Machinery!E32-M35</f>
        <v>7.3360000000000003</v>
      </c>
      <c r="N31" s="260">
        <f t="shared" si="2"/>
        <v>135.71600000000001</v>
      </c>
      <c r="O31" s="7"/>
      <c r="P31" s="213">
        <f>Machinery!E43-P35</f>
        <v>12.136000000000003</v>
      </c>
      <c r="Q31" s="260">
        <f t="shared" si="3"/>
        <v>224.51600000000005</v>
      </c>
      <c r="R31" s="7"/>
      <c r="S31" s="222">
        <f>Machinery!E43-S35</f>
        <v>8.7610000000000028</v>
      </c>
      <c r="T31" s="260">
        <f t="shared" si="4"/>
        <v>162.07850000000005</v>
      </c>
    </row>
    <row r="32" spans="1:20" ht="15.95" customHeight="1" x14ac:dyDescent="0.35">
      <c r="A32" s="9"/>
      <c r="B32" s="7"/>
      <c r="C32" s="48" t="s">
        <v>51</v>
      </c>
      <c r="D32" s="32" t="s">
        <v>37</v>
      </c>
      <c r="E32" s="211">
        <f>Machinery!$M$16</f>
        <v>18.5</v>
      </c>
      <c r="F32" s="7"/>
      <c r="G32" s="255"/>
      <c r="H32" s="260" t="str">
        <f t="shared" si="0"/>
        <v/>
      </c>
      <c r="I32" s="7"/>
      <c r="J32" s="255">
        <v>45</v>
      </c>
      <c r="K32" s="260">
        <f t="shared" si="1"/>
        <v>832.5</v>
      </c>
      <c r="L32" s="7"/>
      <c r="M32" s="213">
        <v>20</v>
      </c>
      <c r="N32" s="260">
        <f t="shared" si="2"/>
        <v>370</v>
      </c>
      <c r="O32" s="7"/>
      <c r="P32" s="249">
        <f>4*5</f>
        <v>20</v>
      </c>
      <c r="Q32" s="260">
        <f t="shared" si="3"/>
        <v>370</v>
      </c>
      <c r="R32" s="48"/>
      <c r="S32" s="223">
        <f>4*5</f>
        <v>20</v>
      </c>
      <c r="T32" s="260">
        <f t="shared" si="4"/>
        <v>370</v>
      </c>
    </row>
    <row r="33" spans="1:23" ht="15.95" customHeight="1" x14ac:dyDescent="0.35">
      <c r="A33" s="9"/>
      <c r="B33" s="7"/>
      <c r="C33" s="7" t="s">
        <v>133</v>
      </c>
      <c r="D33" s="32" t="s">
        <v>37</v>
      </c>
      <c r="E33" s="211">
        <f>Machinery!$M$16</f>
        <v>18.5</v>
      </c>
      <c r="F33" s="7"/>
      <c r="G33" s="255"/>
      <c r="H33" s="260" t="str">
        <f t="shared" si="0"/>
        <v/>
      </c>
      <c r="I33" s="7"/>
      <c r="J33" s="255"/>
      <c r="K33" s="260" t="str">
        <f t="shared" si="1"/>
        <v/>
      </c>
      <c r="L33" s="7"/>
      <c r="M33" s="213">
        <f>($J$9*1.5)/60</f>
        <v>22.675000000000001</v>
      </c>
      <c r="N33" s="260">
        <f t="shared" si="2"/>
        <v>419.48750000000001</v>
      </c>
      <c r="O33" s="7"/>
      <c r="P33" s="213">
        <f>($J$9*2)/60</f>
        <v>30.233333333333334</v>
      </c>
      <c r="Q33" s="260">
        <f t="shared" si="3"/>
        <v>559.31666666666672</v>
      </c>
      <c r="R33" s="7"/>
      <c r="S33" s="222">
        <f>(J9*2.5)/60</f>
        <v>37.791666666666664</v>
      </c>
      <c r="T33" s="260">
        <f t="shared" si="4"/>
        <v>699.14583333333326</v>
      </c>
      <c r="W33" s="29"/>
    </row>
    <row r="34" spans="1:23" ht="15.95" customHeight="1" x14ac:dyDescent="0.35">
      <c r="A34" s="9"/>
      <c r="B34" s="7"/>
      <c r="C34" s="7" t="s">
        <v>188</v>
      </c>
      <c r="D34" s="32" t="s">
        <v>37</v>
      </c>
      <c r="E34" s="211">
        <f>Machinery!$M$16</f>
        <v>18.5</v>
      </c>
      <c r="F34" s="7"/>
      <c r="G34" s="255"/>
      <c r="H34" s="260" t="str">
        <f t="shared" si="0"/>
        <v/>
      </c>
      <c r="I34" s="7"/>
      <c r="J34" s="255"/>
      <c r="K34" s="260" t="str">
        <f t="shared" si="1"/>
        <v/>
      </c>
      <c r="L34" s="7"/>
      <c r="M34" s="213"/>
      <c r="N34" s="260" t="str">
        <f t="shared" si="2"/>
        <v/>
      </c>
      <c r="O34" s="7"/>
      <c r="P34" s="213">
        <f>'Harvest Labor'!$B$30</f>
        <v>158</v>
      </c>
      <c r="Q34" s="260">
        <f t="shared" si="3"/>
        <v>2923</v>
      </c>
      <c r="R34" s="7"/>
      <c r="S34" s="329">
        <f>'Harvest Labor'!D29</f>
        <v>309.5</v>
      </c>
      <c r="T34" s="260">
        <f t="shared" si="4"/>
        <v>5725.75</v>
      </c>
      <c r="W34" s="29"/>
    </row>
    <row r="35" spans="1:23" ht="15.95" customHeight="1" x14ac:dyDescent="0.35">
      <c r="A35" s="9"/>
      <c r="B35" s="7"/>
      <c r="C35" s="48" t="s">
        <v>135</v>
      </c>
      <c r="D35" s="32" t="s">
        <v>37</v>
      </c>
      <c r="E35" s="211">
        <f>Machinery!$M$16</f>
        <v>18.5</v>
      </c>
      <c r="F35" s="7"/>
      <c r="G35" s="255"/>
      <c r="H35" s="260" t="str">
        <f t="shared" si="0"/>
        <v/>
      </c>
      <c r="I35" s="7"/>
      <c r="J35" s="255">
        <f>3*0.75</f>
        <v>2.25</v>
      </c>
      <c r="K35" s="260">
        <f t="shared" si="1"/>
        <v>41.625</v>
      </c>
      <c r="L35" s="7"/>
      <c r="M35" s="213">
        <f>8*0.75</f>
        <v>6</v>
      </c>
      <c r="N35" s="260">
        <f t="shared" si="2"/>
        <v>111</v>
      </c>
      <c r="O35" s="7"/>
      <c r="P35" s="213">
        <f>11*0.75</f>
        <v>8.25</v>
      </c>
      <c r="Q35" s="260">
        <f t="shared" si="3"/>
        <v>152.625</v>
      </c>
      <c r="R35" s="7"/>
      <c r="S35" s="222">
        <f>(1.5*7+5)*0.75</f>
        <v>11.625</v>
      </c>
      <c r="T35" s="260">
        <f t="shared" si="4"/>
        <v>215.0625</v>
      </c>
      <c r="W35" s="29"/>
    </row>
    <row r="36" spans="1:23" ht="15.95" customHeight="1" x14ac:dyDescent="0.35">
      <c r="A36" s="9"/>
      <c r="B36" s="7"/>
      <c r="C36" s="7" t="s">
        <v>173</v>
      </c>
      <c r="D36" s="32" t="s">
        <v>37</v>
      </c>
      <c r="E36" s="211">
        <v>32</v>
      </c>
      <c r="F36" s="7"/>
      <c r="G36" s="255"/>
      <c r="H36" s="260" t="str">
        <f t="shared" si="0"/>
        <v/>
      </c>
      <c r="I36" s="7"/>
      <c r="J36" s="255">
        <v>12.5</v>
      </c>
      <c r="K36" s="260">
        <f t="shared" si="1"/>
        <v>400</v>
      </c>
      <c r="L36" s="7"/>
      <c r="M36" s="213"/>
      <c r="N36" s="260" t="str">
        <f t="shared" si="2"/>
        <v/>
      </c>
      <c r="O36" s="7"/>
      <c r="P36" s="213"/>
      <c r="Q36" s="260" t="str">
        <f t="shared" si="3"/>
        <v/>
      </c>
      <c r="R36" s="7"/>
      <c r="S36" s="222"/>
      <c r="T36" s="260" t="str">
        <f t="shared" si="4"/>
        <v/>
      </c>
      <c r="W36" s="29"/>
    </row>
    <row r="37" spans="1:23" ht="15.95" customHeight="1" x14ac:dyDescent="0.35">
      <c r="A37" s="9"/>
      <c r="B37" s="7" t="s">
        <v>138</v>
      </c>
      <c r="C37" s="7"/>
      <c r="D37" s="32"/>
      <c r="E37" s="208"/>
      <c r="F37" s="7"/>
      <c r="G37" s="253"/>
      <c r="H37" s="260" t="str">
        <f t="shared" si="0"/>
        <v/>
      </c>
      <c r="I37" s="7"/>
      <c r="J37" s="253"/>
      <c r="K37" s="260" t="str">
        <f t="shared" si="1"/>
        <v/>
      </c>
      <c r="L37" s="7"/>
      <c r="M37" s="59"/>
      <c r="N37" s="260" t="str">
        <f t="shared" si="2"/>
        <v/>
      </c>
      <c r="O37" s="7"/>
      <c r="P37" s="210"/>
      <c r="Q37" s="260" t="str">
        <f t="shared" si="3"/>
        <v/>
      </c>
      <c r="R37" s="7"/>
      <c r="S37" s="209"/>
      <c r="T37" s="260" t="str">
        <f t="shared" si="4"/>
        <v/>
      </c>
      <c r="W37" s="29"/>
    </row>
    <row r="38" spans="1:23" ht="15.95" customHeight="1" x14ac:dyDescent="0.35">
      <c r="A38" s="9"/>
      <c r="B38" s="7"/>
      <c r="C38" s="86" t="s">
        <v>178</v>
      </c>
      <c r="D38" s="32" t="s">
        <v>7</v>
      </c>
      <c r="E38" s="224">
        <v>148.61000000000001</v>
      </c>
      <c r="F38" s="7"/>
      <c r="G38" s="255"/>
      <c r="H38" s="260" t="str">
        <f t="shared" si="0"/>
        <v/>
      </c>
      <c r="I38" s="7"/>
      <c r="J38" s="255"/>
      <c r="K38" s="260" t="str">
        <f t="shared" si="1"/>
        <v/>
      </c>
      <c r="L38" s="7"/>
      <c r="M38" s="213"/>
      <c r="N38" s="260" t="str">
        <f t="shared" si="2"/>
        <v/>
      </c>
      <c r="O38" s="7"/>
      <c r="P38" s="213">
        <v>4</v>
      </c>
      <c r="Q38" s="260">
        <f t="shared" si="3"/>
        <v>594.44000000000005</v>
      </c>
      <c r="R38" s="7"/>
      <c r="S38" s="222"/>
      <c r="T38" s="260" t="str">
        <f t="shared" si="4"/>
        <v/>
      </c>
      <c r="W38" s="29"/>
    </row>
    <row r="39" spans="1:23" ht="15.95" customHeight="1" x14ac:dyDescent="0.35">
      <c r="A39" s="9"/>
      <c r="B39" s="7"/>
      <c r="C39" s="7" t="s">
        <v>139</v>
      </c>
      <c r="D39" s="32" t="s">
        <v>140</v>
      </c>
      <c r="E39" s="211">
        <v>100</v>
      </c>
      <c r="F39" s="7"/>
      <c r="G39" s="255"/>
      <c r="H39" s="260" t="str">
        <f t="shared" si="0"/>
        <v/>
      </c>
      <c r="I39" s="7"/>
      <c r="J39" s="255"/>
      <c r="K39" s="260" t="str">
        <f t="shared" si="1"/>
        <v/>
      </c>
      <c r="L39" s="7"/>
      <c r="M39" s="213"/>
      <c r="N39" s="260" t="str">
        <f t="shared" si="2"/>
        <v/>
      </c>
      <c r="O39" s="7"/>
      <c r="P39" s="213">
        <v>0.75</v>
      </c>
      <c r="Q39" s="260">
        <f t="shared" si="3"/>
        <v>75</v>
      </c>
      <c r="R39" s="7"/>
      <c r="S39" s="222">
        <v>1</v>
      </c>
      <c r="T39" s="260">
        <f t="shared" si="4"/>
        <v>100</v>
      </c>
      <c r="W39" s="29"/>
    </row>
    <row r="40" spans="1:23" ht="15.95" customHeight="1" x14ac:dyDescent="0.35">
      <c r="A40" s="9"/>
      <c r="B40" s="7"/>
      <c r="C40" s="7" t="s">
        <v>88</v>
      </c>
      <c r="D40" s="32" t="s">
        <v>7</v>
      </c>
      <c r="E40" s="10">
        <v>0.1</v>
      </c>
      <c r="F40" s="7"/>
      <c r="G40" s="251"/>
      <c r="H40" s="260" t="str">
        <f t="shared" si="0"/>
        <v/>
      </c>
      <c r="I40" s="7"/>
      <c r="J40" s="251"/>
      <c r="K40" s="260" t="str">
        <f t="shared" ref="K40:K42" si="5">IF(J40*E40=0,"",J40*E40)</f>
        <v/>
      </c>
      <c r="L40" s="7"/>
      <c r="M40" s="13"/>
      <c r="N40" s="260" t="str">
        <f t="shared" ref="N40:N42" si="6">IF(M40*E40=0,"",M40*E40)</f>
        <v/>
      </c>
      <c r="O40" s="7"/>
      <c r="P40" s="13">
        <f>ROUNDDOWN(P5,0)</f>
        <v>3346</v>
      </c>
      <c r="Q40" s="260">
        <f t="shared" si="3"/>
        <v>334.6</v>
      </c>
      <c r="R40" s="7"/>
      <c r="S40" s="11">
        <f>ROUNDDOWN(S5,0)</f>
        <v>6893</v>
      </c>
      <c r="T40" s="260">
        <f t="shared" si="4"/>
        <v>689.30000000000007</v>
      </c>
    </row>
    <row r="41" spans="1:23" ht="15.95" customHeight="1" x14ac:dyDescent="0.35">
      <c r="A41" s="9"/>
      <c r="B41" s="7" t="s">
        <v>217</v>
      </c>
      <c r="C41" s="7"/>
      <c r="D41" s="32" t="s">
        <v>40</v>
      </c>
      <c r="E41" s="10">
        <v>3.25</v>
      </c>
      <c r="F41" s="7"/>
      <c r="G41" s="252">
        <f>Machinery!$F$10</f>
        <v>3.1501799999999998</v>
      </c>
      <c r="H41" s="282">
        <f t="shared" ref="H41:H44" si="7">IF(G41*E41=0, "",G41*E41)</f>
        <v>10.238085</v>
      </c>
      <c r="I41" s="6"/>
      <c r="J41" s="252">
        <f>Machinery!F21</f>
        <v>22.233419999999999</v>
      </c>
      <c r="K41" s="282">
        <f t="shared" si="5"/>
        <v>72.258614999999992</v>
      </c>
      <c r="L41" s="6"/>
      <c r="M41" s="283">
        <f>Machinery!F32</f>
        <v>26.405279999999998</v>
      </c>
      <c r="N41" s="282">
        <f t="shared" si="6"/>
        <v>85.817159999999987</v>
      </c>
      <c r="O41" s="6"/>
      <c r="P41" s="283">
        <f>Machinery!F43</f>
        <v>39.824280000000002</v>
      </c>
      <c r="Q41" s="282">
        <f t="shared" ref="Q41:Q42" si="8">IF(P41*E41=0,"",P41*E41)</f>
        <v>129.42891</v>
      </c>
      <c r="R41" s="6"/>
      <c r="S41" s="227">
        <f>Machinery!F43</f>
        <v>39.824280000000002</v>
      </c>
      <c r="T41" s="260">
        <f t="shared" ref="T41:T42" si="9">IF(S41*E41=0,"",S41*E41)</f>
        <v>129.42891</v>
      </c>
    </row>
    <row r="42" spans="1:23" ht="15.95" customHeight="1" x14ac:dyDescent="0.35">
      <c r="A42" s="9"/>
      <c r="B42" s="7" t="s">
        <v>218</v>
      </c>
      <c r="C42" s="7"/>
      <c r="D42" s="32"/>
      <c r="E42" s="281"/>
      <c r="F42" s="7"/>
      <c r="G42" s="252"/>
      <c r="H42" s="260" t="str">
        <f t="shared" si="7"/>
        <v/>
      </c>
      <c r="I42" s="7"/>
      <c r="J42" s="252"/>
      <c r="K42" s="282" t="str">
        <f t="shared" si="5"/>
        <v/>
      </c>
      <c r="L42" s="6"/>
      <c r="M42" s="252"/>
      <c r="N42" s="282" t="str">
        <f t="shared" si="6"/>
        <v/>
      </c>
      <c r="O42" s="6"/>
      <c r="P42" s="283"/>
      <c r="Q42" s="282" t="str">
        <f t="shared" si="8"/>
        <v/>
      </c>
      <c r="R42" s="6"/>
      <c r="S42" s="252"/>
      <c r="T42" s="260" t="str">
        <f t="shared" si="9"/>
        <v/>
      </c>
    </row>
    <row r="43" spans="1:23" ht="15.95" customHeight="1" x14ac:dyDescent="0.35">
      <c r="A43" s="9"/>
      <c r="B43" s="7"/>
      <c r="C43" s="7" t="s">
        <v>219</v>
      </c>
      <c r="D43" s="32"/>
      <c r="E43" s="281"/>
      <c r="F43" s="7"/>
      <c r="G43" s="252"/>
      <c r="H43" s="260">
        <f>Machinery!J10</f>
        <v>6.2660999999999998</v>
      </c>
      <c r="I43" s="7"/>
      <c r="J43" s="252"/>
      <c r="K43" s="282">
        <f>Machinery!J21</f>
        <v>45.32538000000001</v>
      </c>
      <c r="L43" s="6"/>
      <c r="M43" s="252"/>
      <c r="N43" s="282">
        <f>Machinery!J32</f>
        <v>59.413140000000006</v>
      </c>
      <c r="O43" s="6"/>
      <c r="P43" s="283"/>
      <c r="Q43" s="296">
        <f>Machinery!J43</f>
        <v>91.007640000000009</v>
      </c>
      <c r="R43" s="6"/>
      <c r="S43" s="252"/>
      <c r="T43" s="260">
        <f>Machinery!J43</f>
        <v>91.007640000000009</v>
      </c>
    </row>
    <row r="44" spans="1:23" ht="15.95" customHeight="1" x14ac:dyDescent="0.35">
      <c r="A44" s="9"/>
      <c r="B44" s="7"/>
      <c r="C44" s="7" t="s">
        <v>220</v>
      </c>
      <c r="D44" s="32"/>
      <c r="E44" s="281"/>
      <c r="F44" s="7"/>
      <c r="G44" s="252"/>
      <c r="H44" s="260" t="str">
        <f t="shared" si="7"/>
        <v/>
      </c>
      <c r="I44" s="7"/>
      <c r="J44" s="252"/>
      <c r="K44" s="282">
        <f>Infrastructure!K7</f>
        <v>195.762</v>
      </c>
      <c r="L44" s="6"/>
      <c r="M44" s="252"/>
      <c r="N44" s="282">
        <f>Infrastructure!K7</f>
        <v>195.762</v>
      </c>
      <c r="O44" s="6"/>
      <c r="P44" s="283"/>
      <c r="Q44" s="282">
        <f>Infrastructure!K7+Infrastructure!K17</f>
        <v>245.18223</v>
      </c>
      <c r="R44" s="6"/>
      <c r="S44" s="252"/>
      <c r="T44" s="260">
        <f>Infrastructure!K7+Infrastructure!K17</f>
        <v>245.18223</v>
      </c>
    </row>
    <row r="45" spans="1:23" ht="15.95" customHeight="1" x14ac:dyDescent="0.35">
      <c r="A45" s="9"/>
      <c r="B45" s="7" t="s">
        <v>45</v>
      </c>
      <c r="C45" s="7"/>
      <c r="D45" s="60" t="s">
        <v>7</v>
      </c>
      <c r="E45" s="299">
        <v>500</v>
      </c>
      <c r="F45" s="61"/>
      <c r="G45" s="58"/>
      <c r="H45" s="260" t="str">
        <f>IF(G45*E45=0, "",G45*E45)</f>
        <v/>
      </c>
      <c r="I45" s="7"/>
      <c r="J45" s="255">
        <v>1</v>
      </c>
      <c r="K45" s="260">
        <f>IF(J45*E45=0,"",J45*E45)</f>
        <v>500</v>
      </c>
      <c r="L45" s="7"/>
      <c r="M45" s="255">
        <v>3</v>
      </c>
      <c r="N45" s="260">
        <f>M45*E45</f>
        <v>1500</v>
      </c>
      <c r="O45" s="7"/>
      <c r="P45" s="298">
        <v>4</v>
      </c>
      <c r="Q45" s="260">
        <f>E45*P45</f>
        <v>2000</v>
      </c>
      <c r="R45" s="7"/>
      <c r="S45" s="255">
        <v>2.5</v>
      </c>
      <c r="T45" s="260">
        <f>IF(S45*E45=0,"",S45*E45)</f>
        <v>1250</v>
      </c>
    </row>
    <row r="46" spans="1:23" ht="15.95" customHeight="1" x14ac:dyDescent="0.35">
      <c r="A46" s="9"/>
      <c r="B46" s="7" t="s">
        <v>52</v>
      </c>
      <c r="C46" s="7"/>
      <c r="D46" s="32" t="s">
        <v>11</v>
      </c>
      <c r="E46" s="12">
        <v>7.7499999999999999E-2</v>
      </c>
      <c r="F46" s="7"/>
      <c r="G46" s="58"/>
      <c r="H46" s="261">
        <f>SUM(H9:H45)*$E$46*6/12</f>
        <v>27.09584779375</v>
      </c>
      <c r="I46" s="7"/>
      <c r="J46" s="62"/>
      <c r="K46" s="261">
        <f>SUM(K9:L45)*$E$46*6/12</f>
        <v>641.20952168124984</v>
      </c>
      <c r="L46" s="7"/>
      <c r="M46" s="7"/>
      <c r="N46" s="260">
        <f>SUM(N9:N40)*$E$46*6/12</f>
        <v>61.843813281249993</v>
      </c>
      <c r="O46" s="7"/>
      <c r="P46" s="266"/>
      <c r="Q46" s="261">
        <f>SUM(Q9:R45)*$E$46*6/12</f>
        <v>339.0191899645834</v>
      </c>
      <c r="R46" s="7"/>
      <c r="S46" s="62"/>
      <c r="T46" s="261">
        <f>SUM(T9:U45)*$E$46*6/12</f>
        <v>415.87358267291665</v>
      </c>
    </row>
    <row r="47" spans="1:23" ht="15.95" customHeight="1" x14ac:dyDescent="0.3">
      <c r="C47" s="56" t="s">
        <v>18</v>
      </c>
      <c r="D47" s="32"/>
      <c r="E47" s="7"/>
      <c r="F47" s="7"/>
      <c r="G47" s="62"/>
      <c r="H47" s="260">
        <f>SUM(H9:H46)</f>
        <v>726.34353279375</v>
      </c>
      <c r="I47" s="57"/>
      <c r="J47" s="62"/>
      <c r="K47" s="260">
        <f>SUM(K9:K46)</f>
        <v>17188.552016681246</v>
      </c>
      <c r="L47" s="57"/>
      <c r="M47" s="57"/>
      <c r="N47" s="274">
        <f>SUM(N9:N46)</f>
        <v>3498.8054882812498</v>
      </c>
      <c r="O47" s="57"/>
      <c r="P47" s="266"/>
      <c r="Q47" s="260">
        <f>SUM(Q9:Q46)</f>
        <v>9087.9015116312512</v>
      </c>
      <c r="R47" s="57"/>
      <c r="S47" s="62"/>
      <c r="T47" s="260">
        <f>SUM(T9:T46)</f>
        <v>11148.09507100625</v>
      </c>
    </row>
    <row r="48" spans="1:23" ht="15.95" customHeight="1" x14ac:dyDescent="0.3">
      <c r="B48" s="49" t="s">
        <v>19</v>
      </c>
      <c r="C48" s="49"/>
      <c r="D48" s="50" t="s">
        <v>2</v>
      </c>
      <c r="E48" s="51" t="s">
        <v>3</v>
      </c>
      <c r="F48" s="52"/>
      <c r="G48" s="51" t="s">
        <v>4</v>
      </c>
      <c r="H48" s="262" t="s">
        <v>5</v>
      </c>
      <c r="I48" s="53"/>
      <c r="J48" s="257" t="s">
        <v>4</v>
      </c>
      <c r="K48" s="262" t="s">
        <v>6</v>
      </c>
      <c r="L48" s="53"/>
      <c r="M48" s="49"/>
      <c r="N48" s="49" t="s">
        <v>74</v>
      </c>
      <c r="O48" s="53"/>
      <c r="P48" s="267" t="s">
        <v>4</v>
      </c>
      <c r="Q48" s="262" t="s">
        <v>5</v>
      </c>
      <c r="R48" s="54"/>
      <c r="S48" s="257" t="s">
        <v>4</v>
      </c>
      <c r="T48" s="262" t="s">
        <v>5</v>
      </c>
    </row>
    <row r="49" spans="2:22" ht="15.95" customHeight="1" x14ac:dyDescent="0.3">
      <c r="B49" s="48" t="s">
        <v>143</v>
      </c>
      <c r="C49" s="53"/>
      <c r="D49" s="103"/>
      <c r="E49" s="300"/>
      <c r="F49" s="52"/>
      <c r="G49" s="152"/>
      <c r="H49" s="263">
        <f>Infrastructure!H7</f>
        <v>276.93920000000003</v>
      </c>
      <c r="I49" s="194"/>
      <c r="J49" s="259"/>
      <c r="K49" s="263">
        <f>Infrastructure!H7</f>
        <v>276.93920000000003</v>
      </c>
      <c r="L49" s="194"/>
      <c r="M49" s="194"/>
      <c r="N49" s="280">
        <f>Infrastructure!H7</f>
        <v>276.93920000000003</v>
      </c>
      <c r="O49" s="194"/>
      <c r="P49" s="268"/>
      <c r="Q49" s="263">
        <f>SUM(Infrastructure!H7+Infrastructure!H17)</f>
        <v>408.74012000000005</v>
      </c>
      <c r="R49" s="153"/>
      <c r="S49" s="258"/>
      <c r="T49" s="270">
        <f>SUM(Infrastructure!H7+Infrastructure!H17)</f>
        <v>408.74012000000005</v>
      </c>
    </row>
    <row r="50" spans="2:22" ht="15.95" customHeight="1" x14ac:dyDescent="0.3">
      <c r="B50" s="48" t="s">
        <v>144</v>
      </c>
      <c r="C50" s="53"/>
      <c r="D50" s="103"/>
      <c r="E50" s="300"/>
      <c r="F50" s="52"/>
      <c r="G50" s="152"/>
      <c r="H50" s="263">
        <f>Infrastructure!I7</f>
        <v>197.99234999999999</v>
      </c>
      <c r="I50" s="194"/>
      <c r="J50" s="259"/>
      <c r="K50" s="263">
        <f>Infrastructure!I7</f>
        <v>197.99234999999999</v>
      </c>
      <c r="L50" s="194"/>
      <c r="M50" s="194"/>
      <c r="N50" s="280">
        <f>Infrastructure!I7</f>
        <v>197.99234999999999</v>
      </c>
      <c r="O50" s="194"/>
      <c r="P50" s="268"/>
      <c r="Q50" s="263">
        <f>SUM(Infrastructure!I7+Infrastructure!I17)</f>
        <v>261.94548750000001</v>
      </c>
      <c r="R50" s="153"/>
      <c r="S50" s="258"/>
      <c r="T50" s="270">
        <f>SUM(Infrastructure!I7+Infrastructure!I17)</f>
        <v>261.94548750000001</v>
      </c>
    </row>
    <row r="51" spans="2:22" ht="15.95" customHeight="1" x14ac:dyDescent="0.3">
      <c r="B51" s="48" t="s">
        <v>145</v>
      </c>
      <c r="C51" s="53"/>
      <c r="D51" s="103"/>
      <c r="E51" s="301"/>
      <c r="F51" s="52"/>
      <c r="G51" s="152"/>
      <c r="H51" s="263">
        <f>Machinery!H10</f>
        <v>19.096159999999998</v>
      </c>
      <c r="I51" s="194"/>
      <c r="J51" s="259"/>
      <c r="K51" s="263">
        <f>Machinery!H21</f>
        <v>108.96672</v>
      </c>
      <c r="L51" s="194"/>
      <c r="M51" s="194"/>
      <c r="N51" s="280">
        <f>Machinery!H32</f>
        <v>139.05501999999996</v>
      </c>
      <c r="O51" s="194"/>
      <c r="P51" s="268"/>
      <c r="Q51" s="269">
        <f>Machinery!H43</f>
        <v>197.17701999999997</v>
      </c>
      <c r="R51" s="153"/>
      <c r="S51" s="258"/>
      <c r="T51" s="270">
        <f>Machinery!H43</f>
        <v>197.17701999999997</v>
      </c>
    </row>
    <row r="52" spans="2:22" ht="15.95" customHeight="1" x14ac:dyDescent="0.3">
      <c r="B52" s="7" t="s">
        <v>142</v>
      </c>
      <c r="C52" s="7"/>
      <c r="D52" s="32" t="s">
        <v>8</v>
      </c>
      <c r="E52" s="278">
        <v>50</v>
      </c>
      <c r="F52" s="7"/>
      <c r="G52" s="251">
        <v>1</v>
      </c>
      <c r="H52" s="260">
        <f>$E$52*G52</f>
        <v>50</v>
      </c>
      <c r="I52" s="7"/>
      <c r="J52" s="251">
        <v>1</v>
      </c>
      <c r="K52" s="260">
        <f>$E$52*J52</f>
        <v>50</v>
      </c>
      <c r="L52" s="7"/>
      <c r="M52" s="212">
        <v>1</v>
      </c>
      <c r="N52" s="260">
        <f>E52*M52</f>
        <v>50</v>
      </c>
      <c r="O52" s="7"/>
      <c r="P52" s="265">
        <v>1</v>
      </c>
      <c r="Q52" s="260">
        <f>$E$52*P52</f>
        <v>50</v>
      </c>
      <c r="R52" s="7"/>
      <c r="S52" s="251">
        <v>1</v>
      </c>
      <c r="T52" s="260">
        <f>$E$52*S52</f>
        <v>50</v>
      </c>
    </row>
    <row r="53" spans="2:22" ht="15.95" customHeight="1" x14ac:dyDescent="0.3">
      <c r="B53" s="7" t="s">
        <v>146</v>
      </c>
      <c r="C53" s="7"/>
      <c r="D53" s="32" t="s">
        <v>8</v>
      </c>
      <c r="E53" s="278">
        <v>500</v>
      </c>
      <c r="F53" s="7"/>
      <c r="G53" s="251">
        <v>1</v>
      </c>
      <c r="H53" s="261">
        <f>$E$53*G53</f>
        <v>500</v>
      </c>
      <c r="I53" s="7"/>
      <c r="J53" s="251">
        <v>1</v>
      </c>
      <c r="K53" s="261">
        <f>$E$53*J53</f>
        <v>500</v>
      </c>
      <c r="L53" s="7"/>
      <c r="M53" s="212">
        <v>1</v>
      </c>
      <c r="N53" s="260">
        <f>M53*E53</f>
        <v>500</v>
      </c>
      <c r="O53" s="7"/>
      <c r="P53" s="265">
        <v>3</v>
      </c>
      <c r="Q53" s="261">
        <f>$E$53*P53</f>
        <v>1500</v>
      </c>
      <c r="R53" s="7"/>
      <c r="S53" s="251">
        <v>3</v>
      </c>
      <c r="T53" s="261">
        <f>$E$53*S53</f>
        <v>1500</v>
      </c>
    </row>
    <row r="54" spans="2:22" ht="15.95" customHeight="1" x14ac:dyDescent="0.3">
      <c r="C54" s="74" t="s">
        <v>20</v>
      </c>
      <c r="D54"/>
      <c r="E54" s="7"/>
      <c r="F54" s="7"/>
      <c r="G54" s="7"/>
      <c r="H54" s="260">
        <f>SUM(H49:H53)</f>
        <v>1044.0277100000001</v>
      </c>
      <c r="I54" s="7"/>
      <c r="J54" s="7"/>
      <c r="K54" s="260">
        <f>SUM(K49:K53)</f>
        <v>1133.8982700000001</v>
      </c>
      <c r="L54" s="7"/>
      <c r="M54" s="7"/>
      <c r="N54" s="277">
        <f>SUM(N49:N53)</f>
        <v>1163.98657</v>
      </c>
      <c r="O54" s="7"/>
      <c r="P54" s="7"/>
      <c r="Q54" s="260">
        <f>SUM(Q49:Q53)</f>
        <v>2417.8626275000001</v>
      </c>
      <c r="R54" s="7"/>
      <c r="S54" s="7"/>
      <c r="T54" s="260">
        <f>SUM(T49:T53)</f>
        <v>2417.8626275000001</v>
      </c>
    </row>
    <row r="55" spans="2:22" ht="15.95" customHeight="1" x14ac:dyDescent="0.3">
      <c r="B55" s="64"/>
      <c r="C55" s="75" t="s">
        <v>12</v>
      </c>
      <c r="D55" s="14"/>
      <c r="E55" s="63"/>
      <c r="F55" s="63"/>
      <c r="G55" s="63"/>
      <c r="H55" s="261">
        <f>H47+H54</f>
        <v>1770.3712427937501</v>
      </c>
      <c r="I55" s="55"/>
      <c r="J55" s="55"/>
      <c r="K55" s="261">
        <f>K47+K54</f>
        <v>18322.450286681247</v>
      </c>
      <c r="L55" s="55"/>
      <c r="M55" s="55"/>
      <c r="N55" s="261">
        <f>N47+N54</f>
        <v>4662.7920582812494</v>
      </c>
      <c r="O55" s="55"/>
      <c r="P55" s="55"/>
      <c r="Q55" s="261">
        <f>Q47+Q54</f>
        <v>11505.764139131252</v>
      </c>
      <c r="R55" s="55"/>
      <c r="S55" s="55"/>
      <c r="T55" s="261">
        <f>T47+T54</f>
        <v>13565.95769850625</v>
      </c>
      <c r="U55" s="64"/>
    </row>
    <row r="56" spans="2:22" ht="15.95" customHeight="1" x14ac:dyDescent="0.3">
      <c r="B56" s="44" t="s">
        <v>21</v>
      </c>
      <c r="C56" s="44"/>
      <c r="D56" s="44"/>
      <c r="E56" s="7"/>
      <c r="F56" s="7"/>
      <c r="G56" s="7"/>
      <c r="H56" s="260">
        <f>H7-H47</f>
        <v>-726.34353279375</v>
      </c>
      <c r="I56" s="57"/>
      <c r="J56" s="57"/>
      <c r="K56" s="260">
        <f>K7-K47</f>
        <v>-17188.552016681246</v>
      </c>
      <c r="L56" s="57"/>
      <c r="M56" s="57"/>
      <c r="N56" s="260">
        <f>N7-N47</f>
        <v>-3498.8054882812498</v>
      </c>
      <c r="O56" s="57"/>
      <c r="P56" s="57"/>
      <c r="Q56" s="260">
        <f>Q7-Q47</f>
        <v>9319.6634883687475</v>
      </c>
      <c r="R56" s="57"/>
      <c r="S56" s="57"/>
      <c r="T56" s="260">
        <f>T7-T47</f>
        <v>26764.504928993749</v>
      </c>
    </row>
    <row r="57" spans="2:22" ht="15.95" customHeight="1" thickBot="1" x14ac:dyDescent="0.35">
      <c r="B57" s="306" t="s">
        <v>13</v>
      </c>
      <c r="C57" s="306"/>
      <c r="D57" s="306"/>
      <c r="E57" s="66"/>
      <c r="F57" s="66"/>
      <c r="G57" s="66"/>
      <c r="H57" s="264">
        <f>H7-H55</f>
        <v>-1770.3712427937501</v>
      </c>
      <c r="I57" s="67"/>
      <c r="J57" s="67"/>
      <c r="K57" s="264">
        <f>K7-K55</f>
        <v>-18322.450286681247</v>
      </c>
      <c r="L57" s="67"/>
      <c r="M57" s="67"/>
      <c r="N57" s="264">
        <f>N7-N55</f>
        <v>-4662.7920582812494</v>
      </c>
      <c r="O57" s="67"/>
      <c r="P57" s="67"/>
      <c r="Q57" s="264">
        <f>Q7-Q55</f>
        <v>6901.8008608687469</v>
      </c>
      <c r="R57" s="67"/>
      <c r="S57" s="67"/>
      <c r="T57" s="264">
        <f>T7-T55</f>
        <v>24346.642301493746</v>
      </c>
      <c r="U57" s="65"/>
    </row>
    <row r="58" spans="2:22" s="127" customFormat="1" ht="15.95" customHeight="1" thickTop="1" x14ac:dyDescent="0.35">
      <c r="B58" s="310" t="s">
        <v>235</v>
      </c>
      <c r="C58" s="311"/>
      <c r="D58" s="312"/>
      <c r="E58" s="312"/>
      <c r="F58" s="312"/>
      <c r="G58" s="312"/>
      <c r="H58" s="312"/>
      <c r="I58" s="312"/>
      <c r="J58" s="312"/>
      <c r="K58" s="312"/>
      <c r="L58" s="312"/>
      <c r="M58" s="312"/>
      <c r="N58" s="312"/>
      <c r="O58" s="312"/>
      <c r="P58" s="312"/>
      <c r="Q58" s="313" cm="1">
        <f t="array" ref="Q58">SUM('Financial Sensitivity'!$P$10:$P$16)/SUM('Financial Sensitivity'!$N$10:$N$16*'Financial Sensitivity'!$R$3)</f>
        <v>3.888192327091192</v>
      </c>
      <c r="R58" s="314"/>
      <c r="S58" s="314"/>
      <c r="T58" s="313">
        <f>SUM('Financial Sensitivity'!$P$17:$P$25)/(SUM('Financial Sensitivity'!$N$17:$N$25)*'Financial Sensitivity'!$R$3)</f>
        <v>2.0879880591377207</v>
      </c>
      <c r="U58" s="312"/>
      <c r="V58" s="126"/>
    </row>
    <row r="59" spans="2:22" s="127" customFormat="1" ht="15.95" customHeight="1" x14ac:dyDescent="0.3">
      <c r="B59" s="128"/>
      <c r="C59" s="128"/>
      <c r="D59" s="128"/>
      <c r="E59" s="128"/>
      <c r="F59" s="128"/>
      <c r="G59" s="128"/>
      <c r="H59" s="128"/>
      <c r="I59" s="128"/>
      <c r="J59" s="128"/>
      <c r="K59" s="128"/>
      <c r="L59" s="128"/>
      <c r="M59" s="128"/>
      <c r="N59" s="128"/>
      <c r="O59" s="128"/>
      <c r="P59" s="128"/>
      <c r="Q59" s="128"/>
      <c r="R59" s="128"/>
      <c r="S59" s="128"/>
      <c r="T59" s="128"/>
    </row>
    <row r="60" spans="2:22" s="127" customFormat="1" ht="15.95" hidden="1" customHeight="1" x14ac:dyDescent="0.3">
      <c r="B60" s="129"/>
      <c r="C60" s="129"/>
      <c r="D60" s="128"/>
      <c r="E60" s="128"/>
      <c r="F60" s="128"/>
      <c r="G60" s="128"/>
      <c r="H60" s="128"/>
      <c r="I60" s="128"/>
      <c r="J60" s="128"/>
      <c r="K60" s="128"/>
      <c r="L60" s="128"/>
      <c r="M60" s="128"/>
      <c r="N60" s="128"/>
      <c r="O60" s="128"/>
      <c r="P60" s="128"/>
      <c r="Q60" s="128"/>
      <c r="R60" s="128"/>
      <c r="S60" s="128"/>
      <c r="T60" s="128"/>
    </row>
    <row r="61" spans="2:22" s="127" customFormat="1" ht="15.95" hidden="1" customHeight="1" x14ac:dyDescent="0.3">
      <c r="B61" s="128"/>
      <c r="C61" s="128"/>
      <c r="D61" s="128"/>
      <c r="E61" s="128"/>
      <c r="F61" s="134"/>
      <c r="G61" s="134"/>
      <c r="H61" s="128"/>
      <c r="I61" s="128"/>
      <c r="J61" s="128"/>
      <c r="K61" s="128"/>
      <c r="L61" s="128"/>
      <c r="M61" s="128"/>
      <c r="N61" s="128"/>
      <c r="O61" s="128"/>
      <c r="P61" s="128"/>
      <c r="Q61" s="128"/>
      <c r="R61" s="128"/>
      <c r="S61" s="128"/>
      <c r="T61" s="128"/>
      <c r="U61" s="128"/>
    </row>
    <row r="62" spans="2:22" s="127" customFormat="1" ht="15.95" hidden="1" customHeight="1" x14ac:dyDescent="0.3">
      <c r="B62" s="128"/>
      <c r="C62" s="128"/>
      <c r="D62" s="128"/>
      <c r="E62" s="128"/>
      <c r="F62" s="134"/>
      <c r="G62" s="134"/>
      <c r="H62" s="128"/>
      <c r="I62" s="128"/>
      <c r="J62" s="130"/>
      <c r="K62" s="131"/>
      <c r="L62" s="131"/>
      <c r="M62" s="131"/>
      <c r="N62" s="131"/>
      <c r="O62" s="131"/>
      <c r="P62" s="131"/>
      <c r="Q62" s="131"/>
      <c r="R62" s="131"/>
      <c r="S62" s="128"/>
      <c r="T62" s="128"/>
    </row>
    <row r="63" spans="2:22" s="127" customFormat="1" ht="15.95" hidden="1" customHeight="1" x14ac:dyDescent="0.3">
      <c r="B63" s="128"/>
      <c r="C63" s="128"/>
      <c r="D63" s="128"/>
      <c r="E63" s="134"/>
      <c r="F63" s="134"/>
      <c r="G63" s="134"/>
      <c r="H63" s="128"/>
      <c r="I63" s="128"/>
      <c r="J63" s="130"/>
      <c r="K63" s="131"/>
      <c r="L63" s="131"/>
      <c r="M63" s="131"/>
      <c r="N63" s="131"/>
      <c r="O63" s="131"/>
      <c r="P63" s="131"/>
      <c r="Q63" s="131"/>
      <c r="R63" s="131"/>
      <c r="S63" s="128"/>
      <c r="T63" s="128"/>
    </row>
    <row r="64" spans="2:22" s="127" customFormat="1" ht="15.95" hidden="1" customHeight="1" x14ac:dyDescent="0.3">
      <c r="B64" s="128"/>
      <c r="C64" s="128"/>
      <c r="E64" s="132"/>
      <c r="F64" s="132"/>
      <c r="G64" s="132"/>
      <c r="H64" s="128"/>
      <c r="I64" s="128"/>
      <c r="J64" s="130"/>
      <c r="K64" s="131"/>
      <c r="L64" s="131"/>
      <c r="M64" s="131"/>
      <c r="N64" s="131"/>
      <c r="O64" s="131"/>
      <c r="P64" s="131"/>
      <c r="Q64" s="131"/>
      <c r="R64" s="131"/>
      <c r="S64" s="128"/>
      <c r="T64" s="128"/>
    </row>
    <row r="65" spans="2:20" s="127" customFormat="1" ht="15.95" hidden="1" customHeight="1" x14ac:dyDescent="0.3">
      <c r="B65" s="128"/>
      <c r="C65" s="128"/>
      <c r="D65" s="132"/>
      <c r="E65" s="132"/>
      <c r="F65" s="132"/>
      <c r="G65" s="128"/>
      <c r="H65" s="128"/>
      <c r="I65" s="128"/>
      <c r="J65" s="131"/>
      <c r="K65" s="131"/>
      <c r="L65" s="131"/>
      <c r="M65" s="131"/>
      <c r="N65" s="131"/>
      <c r="O65" s="131"/>
      <c r="P65" s="131"/>
      <c r="Q65" s="131"/>
      <c r="R65" s="131"/>
      <c r="S65" s="128"/>
      <c r="T65" s="128"/>
    </row>
    <row r="66" spans="2:20" s="127" customFormat="1" ht="15.95" hidden="1" customHeight="1" x14ac:dyDescent="0.3">
      <c r="B66" s="129"/>
      <c r="C66" s="129"/>
      <c r="D66" s="132"/>
      <c r="E66" s="132"/>
      <c r="F66" s="132"/>
      <c r="G66" s="133"/>
      <c r="H66" s="128"/>
      <c r="I66" s="128"/>
      <c r="J66" s="131"/>
      <c r="K66" s="131"/>
      <c r="L66" s="131"/>
      <c r="M66" s="131"/>
      <c r="N66" s="131"/>
      <c r="O66" s="131"/>
      <c r="P66" s="131"/>
      <c r="Q66" s="131"/>
      <c r="R66" s="131"/>
      <c r="S66" s="128"/>
      <c r="T66" s="128"/>
    </row>
    <row r="67" spans="2:20" s="127" customFormat="1" ht="15.95" hidden="1" customHeight="1" x14ac:dyDescent="0.3">
      <c r="B67" s="128"/>
      <c r="C67" s="128"/>
      <c r="D67" s="132"/>
      <c r="E67" s="132"/>
      <c r="F67" s="132"/>
      <c r="G67" s="134"/>
      <c r="H67" s="128"/>
      <c r="I67" s="128"/>
      <c r="K67" s="128"/>
      <c r="L67" s="128"/>
      <c r="M67" s="128"/>
      <c r="N67" s="128"/>
      <c r="O67" s="128"/>
      <c r="P67" s="128"/>
      <c r="Q67" s="128"/>
      <c r="R67" s="128"/>
      <c r="S67" s="128"/>
      <c r="T67" s="128"/>
    </row>
    <row r="68" spans="2:20" s="127" customFormat="1" ht="15.95" hidden="1" customHeight="1" x14ac:dyDescent="0.3">
      <c r="B68" s="128"/>
      <c r="C68" s="128"/>
      <c r="D68" s="128"/>
      <c r="E68" s="128"/>
      <c r="F68" s="128"/>
      <c r="G68" s="134"/>
      <c r="H68" s="128"/>
      <c r="I68" s="128"/>
      <c r="J68" s="128"/>
      <c r="K68" s="128"/>
      <c r="L68" s="128"/>
      <c r="M68" s="128"/>
      <c r="N68" s="128"/>
      <c r="O68" s="128"/>
      <c r="P68" s="128"/>
      <c r="Q68" s="128"/>
      <c r="R68" s="128"/>
      <c r="S68" s="128"/>
      <c r="T68" s="128"/>
    </row>
    <row r="69" spans="2:20" s="127" customFormat="1" ht="15.95" hidden="1" customHeight="1" x14ac:dyDescent="0.3">
      <c r="B69" s="128"/>
      <c r="C69" s="128"/>
      <c r="D69" s="128"/>
      <c r="E69" s="128"/>
      <c r="F69" s="128"/>
      <c r="G69" s="134"/>
      <c r="H69" s="128"/>
      <c r="I69" s="128"/>
      <c r="J69" s="128"/>
      <c r="K69" s="128"/>
      <c r="L69" s="128"/>
      <c r="M69" s="128"/>
      <c r="N69" s="128"/>
      <c r="O69" s="128"/>
      <c r="P69" s="128"/>
      <c r="Q69" s="128"/>
      <c r="R69" s="128"/>
      <c r="S69" s="128"/>
      <c r="T69" s="128"/>
    </row>
    <row r="70" spans="2:20" s="127" customFormat="1" ht="15.95" hidden="1" customHeight="1" x14ac:dyDescent="0.3"/>
    <row r="71" spans="2:20" ht="15.95" customHeight="1" x14ac:dyDescent="0.3"/>
  </sheetData>
  <sheetProtection sheet="1" objects="1" scenarios="1"/>
  <protectedRanges>
    <protectedRange sqref="E5:E6 G5:G6 J5:J6 M5:M6 P5:P6 S5:S6" name="berry sales"/>
    <protectedRange sqref="S6 S9 S11:S16 S18:S24 S26:S28 S30:S36 S38:S40 S45 S52:S53" name="Year5 Quantity"/>
    <protectedRange sqref="P6 P9 P11:P16 P18:P24 P26:P28 P30:P36 P38:P40 P45 P52:P53" name="Year 4 Quantity"/>
    <protectedRange sqref="M5:M6 M9 M11:M16 M18:M24 M26:M28 M30:M36 M38:M40 M45 M52:M53" name="Year3 Quantity"/>
    <protectedRange sqref="J5:J6 J11:J16 J18:J24 J26:J28 J30:J36 J38:J40 J45 J52:J53 G5:G6" name="Year2 Quantity"/>
    <protectedRange sqref="G9 G11:G16 G18:G24 G26:G28 G30:G36 G38:G40 G52:G53" name="Yr1Quantity"/>
    <protectedRange sqref="E9 E11:E16 E18:E24 E26:E28 E30:E36 E38:E41 E45:E46 E52:E53" name="Prices"/>
    <protectedRange sqref="S5 P5" name="Sales"/>
  </protectedRanges>
  <mergeCells count="6">
    <mergeCell ref="S3:T3"/>
    <mergeCell ref="B2:U2"/>
    <mergeCell ref="G3:H3"/>
    <mergeCell ref="J3:K3"/>
    <mergeCell ref="P3:Q3"/>
    <mergeCell ref="M3:N3"/>
  </mergeCells>
  <pageMargins left="0.5" right="0.5" top="0.25" bottom="0.25" header="0.5" footer="0.5"/>
  <pageSetup scale="7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4E70C-05B5-4320-BA50-A84B4F511BB9}">
  <dimension ref="A1:M36"/>
  <sheetViews>
    <sheetView zoomScaleNormal="100" workbookViewId="0">
      <selection activeCell="I16" sqref="I16"/>
    </sheetView>
  </sheetViews>
  <sheetFormatPr defaultColWidth="0" defaultRowHeight="15" zeroHeight="1" x14ac:dyDescent="0.25"/>
  <cols>
    <col min="1" max="1" width="52.75" customWidth="1"/>
    <col min="2" max="3" width="9" customWidth="1"/>
    <col min="4" max="4" width="12.625" bestFit="1" customWidth="1"/>
    <col min="5" max="5" width="11.5" bestFit="1" customWidth="1"/>
    <col min="6" max="6" width="9.625" bestFit="1" customWidth="1"/>
    <col min="7" max="7" width="9" customWidth="1"/>
    <col min="8" max="8" width="12.375" customWidth="1"/>
    <col min="9" max="9" width="11.5" bestFit="1" customWidth="1"/>
    <col min="10" max="13" width="9" customWidth="1"/>
    <col min="14" max="16384" width="9" hidden="1"/>
  </cols>
  <sheetData>
    <row r="1" spans="1:11" x14ac:dyDescent="0.25"/>
    <row r="2" spans="1:11" ht="15.75" x14ac:dyDescent="0.25">
      <c r="A2" s="78" t="s">
        <v>221</v>
      </c>
      <c r="B2" s="78"/>
      <c r="C2" s="78"/>
      <c r="D2" s="78"/>
      <c r="E2" s="78"/>
      <c r="F2" s="78"/>
      <c r="G2" s="78"/>
      <c r="H2" s="78"/>
      <c r="I2" s="78"/>
      <c r="J2" s="78"/>
      <c r="K2" s="79"/>
    </row>
    <row r="3" spans="1:11" ht="31.5" x14ac:dyDescent="0.25">
      <c r="A3" s="80" t="s">
        <v>89</v>
      </c>
      <c r="B3" s="80" t="s">
        <v>2</v>
      </c>
      <c r="C3" s="81" t="s">
        <v>69</v>
      </c>
      <c r="D3" s="82" t="s">
        <v>90</v>
      </c>
      <c r="E3" s="83" t="s">
        <v>71</v>
      </c>
      <c r="F3" s="83" t="s">
        <v>91</v>
      </c>
      <c r="G3" s="83" t="s">
        <v>92</v>
      </c>
      <c r="H3" s="83" t="s">
        <v>93</v>
      </c>
      <c r="I3" s="83" t="s">
        <v>94</v>
      </c>
      <c r="J3" s="83" t="s">
        <v>95</v>
      </c>
      <c r="K3" s="83" t="s">
        <v>95</v>
      </c>
    </row>
    <row r="4" spans="1:11" ht="15.75" x14ac:dyDescent="0.25">
      <c r="A4" s="84"/>
      <c r="B4" s="84"/>
      <c r="C4" s="85" t="s">
        <v>96</v>
      </c>
      <c r="D4" s="85" t="s">
        <v>74</v>
      </c>
      <c r="E4" s="85" t="s">
        <v>74</v>
      </c>
      <c r="F4" s="85" t="s">
        <v>97</v>
      </c>
      <c r="G4" s="85" t="s">
        <v>98</v>
      </c>
      <c r="H4" s="85" t="s">
        <v>74</v>
      </c>
      <c r="I4" s="85" t="s">
        <v>74</v>
      </c>
      <c r="J4" s="85" t="s">
        <v>98</v>
      </c>
      <c r="K4" s="85" t="s">
        <v>74</v>
      </c>
    </row>
    <row r="5" spans="1:11" ht="15.75" x14ac:dyDescent="0.25">
      <c r="A5" s="86" t="s">
        <v>99</v>
      </c>
      <c r="B5" s="214" t="s">
        <v>8</v>
      </c>
      <c r="C5" s="146">
        <v>1</v>
      </c>
      <c r="D5" s="195">
        <f>Budget!J9*3</f>
        <v>2721</v>
      </c>
      <c r="E5" s="196">
        <f t="shared" ref="E5:E6" si="0">C5*D5</f>
        <v>2721</v>
      </c>
      <c r="F5" s="87">
        <v>15</v>
      </c>
      <c r="G5" s="88">
        <v>0</v>
      </c>
      <c r="H5" s="200">
        <f>IF(E5&gt;0,(E5-(E5*G5))/F5,"")</f>
        <v>181.4</v>
      </c>
      <c r="I5" s="200">
        <f>IF(E5&gt;0,((E5+E5*G5)/2)*Budget!$E$46,"")</f>
        <v>105.43875</v>
      </c>
      <c r="J5" s="90">
        <v>0.1</v>
      </c>
      <c r="K5" s="200">
        <f>IF(E5&gt;0,((E5+E5*G5)/2)*J5,"")</f>
        <v>136.05000000000001</v>
      </c>
    </row>
    <row r="6" spans="1:11" ht="15.75" x14ac:dyDescent="0.25">
      <c r="A6" s="86" t="s">
        <v>100</v>
      </c>
      <c r="B6" s="214" t="s">
        <v>10</v>
      </c>
      <c r="C6" s="146">
        <v>768</v>
      </c>
      <c r="D6" s="195">
        <v>3.11</v>
      </c>
      <c r="E6" s="196">
        <f t="shared" si="0"/>
        <v>2388.48</v>
      </c>
      <c r="F6" s="87">
        <v>25</v>
      </c>
      <c r="G6" s="88">
        <v>0</v>
      </c>
      <c r="H6" s="200">
        <f>IF(E6&gt;0,(E6-(E6*G6))/F6,"")</f>
        <v>95.539199999999994</v>
      </c>
      <c r="I6" s="200">
        <f>IF(E6&gt;0,((E6+E6*G6)/2)*Budget!$E$46,"")</f>
        <v>92.553600000000003</v>
      </c>
      <c r="J6" s="90">
        <v>0.05</v>
      </c>
      <c r="K6" s="200">
        <f>IF(E6&gt;0,((E6+E6*G6)/2)*J6,"")</f>
        <v>59.712000000000003</v>
      </c>
    </row>
    <row r="7" spans="1:11" ht="15.75" x14ac:dyDescent="0.25">
      <c r="A7" s="15"/>
      <c r="B7" s="15"/>
      <c r="C7" s="149"/>
      <c r="D7" s="149"/>
      <c r="E7" s="197">
        <f>SUM(E5:E6)</f>
        <v>5109.4799999999996</v>
      </c>
      <c r="F7" s="150"/>
      <c r="G7" s="150"/>
      <c r="H7" s="201">
        <f>SUM(H5:H6)</f>
        <v>276.93920000000003</v>
      </c>
      <c r="I7" s="201">
        <f>SUM(I5:I6)</f>
        <v>197.99234999999999</v>
      </c>
      <c r="J7" s="151"/>
      <c r="K7" s="201">
        <f>SUM(K5:K6)</f>
        <v>195.762</v>
      </c>
    </row>
    <row r="8" spans="1:11" ht="15.75" x14ac:dyDescent="0.25">
      <c r="A8" s="94"/>
      <c r="B8" s="94"/>
      <c r="C8" s="94"/>
      <c r="D8" s="94"/>
      <c r="E8" s="141"/>
      <c r="F8" s="79"/>
      <c r="G8" s="79"/>
      <c r="H8" s="89"/>
      <c r="I8" s="89"/>
      <c r="J8" s="89"/>
      <c r="K8" s="91"/>
    </row>
    <row r="9" spans="1:11" ht="15.75" x14ac:dyDescent="0.25">
      <c r="A9" s="78" t="s">
        <v>222</v>
      </c>
      <c r="B9" s="78"/>
      <c r="C9" s="78"/>
      <c r="D9" s="78"/>
      <c r="E9" s="142"/>
      <c r="F9" s="78"/>
      <c r="G9" s="78"/>
      <c r="H9" s="78"/>
      <c r="I9" s="78"/>
      <c r="J9" s="78"/>
      <c r="K9" s="79"/>
    </row>
    <row r="10" spans="1:11" ht="31.5" x14ac:dyDescent="0.25">
      <c r="A10" s="80" t="s">
        <v>89</v>
      </c>
      <c r="B10" s="80" t="s">
        <v>2</v>
      </c>
      <c r="C10" s="81" t="s">
        <v>69</v>
      </c>
      <c r="D10" s="82" t="s">
        <v>90</v>
      </c>
      <c r="E10" s="143" t="s">
        <v>71</v>
      </c>
      <c r="F10" s="83" t="s">
        <v>91</v>
      </c>
      <c r="G10" s="83" t="s">
        <v>92</v>
      </c>
      <c r="H10" s="83" t="s">
        <v>93</v>
      </c>
      <c r="I10" s="83" t="s">
        <v>94</v>
      </c>
      <c r="J10" s="83" t="s">
        <v>95</v>
      </c>
      <c r="K10" s="83" t="s">
        <v>95</v>
      </c>
    </row>
    <row r="11" spans="1:11" ht="15.75" x14ac:dyDescent="0.25">
      <c r="A11" s="84"/>
      <c r="B11" s="84"/>
      <c r="C11" s="84"/>
      <c r="D11" s="85" t="s">
        <v>74</v>
      </c>
      <c r="E11" s="140" t="s">
        <v>74</v>
      </c>
      <c r="F11" s="85" t="s">
        <v>97</v>
      </c>
      <c r="G11" s="85" t="s">
        <v>98</v>
      </c>
      <c r="H11" s="85" t="s">
        <v>74</v>
      </c>
      <c r="I11" s="85" t="s">
        <v>74</v>
      </c>
      <c r="J11" s="85" t="s">
        <v>98</v>
      </c>
      <c r="K11" s="85" t="s">
        <v>74</v>
      </c>
    </row>
    <row r="12" spans="1:11" ht="15.75" x14ac:dyDescent="0.25">
      <c r="A12" s="190" t="s">
        <v>137</v>
      </c>
      <c r="B12" s="214" t="s">
        <v>7</v>
      </c>
      <c r="C12" s="193">
        <v>50</v>
      </c>
      <c r="D12" s="195">
        <v>4.9800000000000004</v>
      </c>
      <c r="E12" s="288">
        <f>C12*D12</f>
        <v>249.00000000000003</v>
      </c>
      <c r="F12" s="87">
        <v>10</v>
      </c>
      <c r="G12" s="88">
        <v>0</v>
      </c>
      <c r="H12" s="196">
        <f>IF(E12&gt;0,(E12-(E12*G12))/F12,"")</f>
        <v>24.900000000000002</v>
      </c>
      <c r="I12" s="196">
        <f>IF(E12&gt;0,((E12+E12*G12)/2)*[2]Budget!$D$61,"")</f>
        <v>9.3375000000000004</v>
      </c>
      <c r="J12" s="90">
        <v>0.16</v>
      </c>
      <c r="K12" s="196">
        <f>IF(E12&gt;0,((E12+E12*G12)/2)*J12,"")</f>
        <v>19.920000000000002</v>
      </c>
    </row>
    <row r="13" spans="1:11" ht="15.75" x14ac:dyDescent="0.25">
      <c r="A13" s="190" t="s">
        <v>177</v>
      </c>
      <c r="B13" s="214" t="s">
        <v>101</v>
      </c>
      <c r="C13" s="193">
        <v>18.3</v>
      </c>
      <c r="D13" s="195">
        <v>40.92</v>
      </c>
      <c r="E13" s="288">
        <f t="shared" ref="E13:E16" si="1">C13*D13</f>
        <v>748.83600000000001</v>
      </c>
      <c r="F13" s="87">
        <v>25</v>
      </c>
      <c r="G13" s="88">
        <v>0</v>
      </c>
      <c r="H13" s="196">
        <f>IF(E13&gt;0,(E13-(E13*G13))/F13,"")</f>
        <v>29.953440000000001</v>
      </c>
      <c r="I13" s="196">
        <f>IF(E13&gt;0,((E13+E13*G13)/2)*[2]Budget!$D$61,"")</f>
        <v>28.08135</v>
      </c>
      <c r="J13" s="90">
        <v>0.02</v>
      </c>
      <c r="K13" s="196">
        <f>IF(E13&gt;0,((E13+E13*G13)/2)*J13,"")</f>
        <v>7.4883600000000001</v>
      </c>
    </row>
    <row r="14" spans="1:11" ht="15.75" x14ac:dyDescent="0.25">
      <c r="A14" s="190" t="s">
        <v>176</v>
      </c>
      <c r="B14" s="214" t="s">
        <v>101</v>
      </c>
      <c r="C14" s="193">
        <v>6.9</v>
      </c>
      <c r="D14" s="195">
        <v>38.979999999999997</v>
      </c>
      <c r="E14" s="288">
        <f t="shared" si="1"/>
        <v>268.96199999999999</v>
      </c>
      <c r="F14" s="87">
        <v>25</v>
      </c>
      <c r="G14" s="88">
        <v>0</v>
      </c>
      <c r="H14" s="196">
        <f>IF(E14&gt;0,(E14-(E14*G14))/F14,"")</f>
        <v>10.758479999999999</v>
      </c>
      <c r="I14" s="196">
        <f>IF(E14&gt;0,((E14+E14*G14)/2)*[2]Budget!$D$61,"")</f>
        <v>10.086074999999999</v>
      </c>
      <c r="J14" s="90">
        <v>0.02</v>
      </c>
      <c r="K14" s="196">
        <f>IF(E14&gt;0,((E14+E14*G14)/2)*J14,"")</f>
        <v>2.6896200000000001</v>
      </c>
    </row>
    <row r="15" spans="1:11" ht="15.75" x14ac:dyDescent="0.25">
      <c r="A15" s="191" t="s">
        <v>136</v>
      </c>
      <c r="B15" s="215" t="s">
        <v>8</v>
      </c>
      <c r="C15" s="287">
        <v>1</v>
      </c>
      <c r="D15" s="285">
        <v>230.97</v>
      </c>
      <c r="E15" s="289">
        <f>C15*D15</f>
        <v>230.97</v>
      </c>
      <c r="F15" s="87">
        <v>5</v>
      </c>
      <c r="G15" s="88">
        <v>0</v>
      </c>
      <c r="H15" s="200">
        <f>IF(E15&gt;0,(E15-(E15*G15))/F15,"")</f>
        <v>46.194000000000003</v>
      </c>
      <c r="I15" s="200">
        <f>IF(E15&gt;0,((E15+E15*G15)/2)*Budget!$E$46,"")</f>
        <v>8.9500875000000004</v>
      </c>
      <c r="J15" s="90">
        <v>0.15</v>
      </c>
      <c r="K15" s="200">
        <f>IF(E15&gt;0,((E15+E15*G15)/2)*J15,"")</f>
        <v>17.322749999999999</v>
      </c>
    </row>
    <row r="16" spans="1:11" ht="15.75" x14ac:dyDescent="0.25">
      <c r="A16" s="192" t="s">
        <v>165</v>
      </c>
      <c r="B16" s="147" t="s">
        <v>7</v>
      </c>
      <c r="C16" s="198">
        <v>1</v>
      </c>
      <c r="D16" s="286">
        <v>199.95</v>
      </c>
      <c r="E16" s="290">
        <f t="shared" si="1"/>
        <v>199.95</v>
      </c>
      <c r="F16" s="99">
        <v>10</v>
      </c>
      <c r="G16" s="148">
        <v>0</v>
      </c>
      <c r="H16" s="199">
        <f>IF(E16&gt;0,(E16-(E16*G16))/F16,"")</f>
        <v>19.994999999999997</v>
      </c>
      <c r="I16" s="199">
        <f>IF(E16&gt;0,((E16+E16*G16)/2)*[2]Budget!$D$61,"")</f>
        <v>7.498124999999999</v>
      </c>
      <c r="J16" s="92">
        <v>0.02</v>
      </c>
      <c r="K16" s="199">
        <f>IF(E16&gt;0,((E16+E16*G16)/2)*J16,"")</f>
        <v>1.9994999999999998</v>
      </c>
    </row>
    <row r="17" spans="1:11" ht="15.75" x14ac:dyDescent="0.25">
      <c r="A17" s="94"/>
      <c r="B17" s="94"/>
      <c r="C17" s="94"/>
      <c r="D17" s="94"/>
      <c r="E17" s="196">
        <f>SUM(E12:E16)</f>
        <v>1697.7180000000001</v>
      </c>
      <c r="F17" s="79"/>
      <c r="G17" s="79"/>
      <c r="H17" s="196">
        <f>SUM(H12:H16)</f>
        <v>131.80091999999999</v>
      </c>
      <c r="I17" s="196">
        <f>SUM(I12:I16)</f>
        <v>63.953137500000004</v>
      </c>
      <c r="J17" s="89"/>
      <c r="K17" s="196">
        <f>SUM(K12:K16)</f>
        <v>49.420230000000004</v>
      </c>
    </row>
    <row r="18" spans="1:11" x14ac:dyDescent="0.25"/>
    <row r="19" spans="1:11" x14ac:dyDescent="0.25"/>
    <row r="20" spans="1:11" x14ac:dyDescent="0.25"/>
    <row r="21" spans="1:11" x14ac:dyDescent="0.25"/>
    <row r="22" spans="1:11" x14ac:dyDescent="0.25"/>
    <row r="23" spans="1:11" x14ac:dyDescent="0.25"/>
    <row r="24" spans="1:11" x14ac:dyDescent="0.25"/>
    <row r="25" spans="1:11" x14ac:dyDescent="0.25"/>
    <row r="26" spans="1:11" x14ac:dyDescent="0.25"/>
    <row r="27" spans="1:11" x14ac:dyDescent="0.25"/>
    <row r="28" spans="1:11" x14ac:dyDescent="0.25"/>
    <row r="29" spans="1:11" x14ac:dyDescent="0.25"/>
    <row r="30" spans="1:11" x14ac:dyDescent="0.25"/>
    <row r="31" spans="1:11" x14ac:dyDescent="0.25"/>
    <row r="32" spans="1:11" x14ac:dyDescent="0.25"/>
    <row r="33" x14ac:dyDescent="0.25"/>
    <row r="34" x14ac:dyDescent="0.25"/>
    <row r="35" x14ac:dyDescent="0.25"/>
    <row r="36" x14ac:dyDescent="0.25"/>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E494A-0111-4916-AA4C-7AFCE222D6E1}">
  <dimension ref="A1:O56"/>
  <sheetViews>
    <sheetView workbookViewId="0">
      <selection activeCell="J17" sqref="J17"/>
    </sheetView>
  </sheetViews>
  <sheetFormatPr defaultColWidth="0" defaultRowHeight="15" zeroHeight="1" x14ac:dyDescent="0.25"/>
  <cols>
    <col min="1" max="1" width="32.25" customWidth="1"/>
    <col min="2" max="2" width="19.125" bestFit="1" customWidth="1"/>
    <col min="3" max="3" width="13.375" customWidth="1"/>
    <col min="4" max="4" width="14.625" bestFit="1" customWidth="1"/>
    <col min="5" max="5" width="10.125" bestFit="1" customWidth="1"/>
    <col min="6" max="6" width="9" customWidth="1"/>
    <col min="7" max="7" width="21.5" customWidth="1"/>
    <col min="8" max="8" width="10.625" customWidth="1"/>
    <col min="9" max="9" width="9.875" bestFit="1" customWidth="1"/>
    <col min="10" max="10" width="9" customWidth="1"/>
    <col min="11" max="11" width="11.875" bestFit="1" customWidth="1"/>
    <col min="12" max="12" width="9" customWidth="1"/>
    <col min="13" max="15" width="0" hidden="1" customWidth="1"/>
    <col min="16" max="16384" width="9" hidden="1"/>
  </cols>
  <sheetData>
    <row r="1" spans="1:15" ht="24" x14ac:dyDescent="0.4">
      <c r="A1" s="104" t="s">
        <v>163</v>
      </c>
      <c r="B1" s="104"/>
      <c r="C1" s="104"/>
      <c r="D1" s="76"/>
      <c r="E1" s="76"/>
      <c r="F1" s="76"/>
      <c r="G1" s="76"/>
      <c r="H1" s="76"/>
      <c r="I1" s="76"/>
      <c r="J1" s="76"/>
      <c r="K1" s="76"/>
      <c r="L1" s="76"/>
      <c r="M1" s="76"/>
      <c r="N1" s="76"/>
      <c r="O1" s="76"/>
    </row>
    <row r="2" spans="1:15" x14ac:dyDescent="0.25">
      <c r="A2" s="118" t="s">
        <v>65</v>
      </c>
      <c r="B2" s="118" t="s">
        <v>66</v>
      </c>
      <c r="C2" s="118" t="s">
        <v>67</v>
      </c>
      <c r="D2" s="118" t="s">
        <v>68</v>
      </c>
      <c r="E2" s="118" t="s">
        <v>2</v>
      </c>
      <c r="F2" s="119" t="s">
        <v>69</v>
      </c>
      <c r="G2" s="139" t="s">
        <v>175</v>
      </c>
      <c r="H2" s="119" t="s">
        <v>70</v>
      </c>
      <c r="I2" s="119" t="s">
        <v>71</v>
      </c>
      <c r="J2" s="120" t="s">
        <v>72</v>
      </c>
      <c r="K2" s="120" t="s">
        <v>73</v>
      </c>
      <c r="L2" s="121"/>
      <c r="M2" s="121"/>
      <c r="N2" s="121"/>
      <c r="O2" s="76"/>
    </row>
    <row r="3" spans="1:15" x14ac:dyDescent="0.25">
      <c r="A3" s="121" t="s">
        <v>194</v>
      </c>
      <c r="B3" s="121" t="s">
        <v>59</v>
      </c>
      <c r="C3" s="121" t="s">
        <v>147</v>
      </c>
      <c r="D3" s="121" t="s">
        <v>148</v>
      </c>
      <c r="E3" s="121" t="s">
        <v>9</v>
      </c>
      <c r="F3" s="216">
        <v>860</v>
      </c>
      <c r="G3" s="216">
        <v>860</v>
      </c>
      <c r="H3" s="217">
        <v>0.55000000000000004</v>
      </c>
      <c r="I3" s="204">
        <f>G3*H3</f>
        <v>473.00000000000006</v>
      </c>
      <c r="J3" s="122" t="s">
        <v>149</v>
      </c>
      <c r="K3" s="121"/>
      <c r="L3" s="121"/>
      <c r="M3" s="121"/>
      <c r="N3" s="121"/>
      <c r="O3" s="76"/>
    </row>
    <row r="4" spans="1:15" x14ac:dyDescent="0.25">
      <c r="A4" s="121" t="s">
        <v>195</v>
      </c>
      <c r="B4" s="121" t="s">
        <v>193</v>
      </c>
      <c r="C4" s="121" t="s">
        <v>150</v>
      </c>
      <c r="D4" s="123"/>
      <c r="E4" s="121" t="s">
        <v>174</v>
      </c>
      <c r="F4" s="216">
        <v>35</v>
      </c>
      <c r="G4" s="216">
        <v>35</v>
      </c>
      <c r="H4" s="217">
        <v>49</v>
      </c>
      <c r="I4" s="204">
        <f t="shared" ref="I4:I13" si="0">G4*H4</f>
        <v>1715</v>
      </c>
      <c r="J4" s="122" t="s">
        <v>149</v>
      </c>
      <c r="K4" s="121"/>
      <c r="L4" s="121"/>
      <c r="M4" s="121"/>
      <c r="N4" s="121"/>
      <c r="O4" s="76"/>
    </row>
    <row r="5" spans="1:15" x14ac:dyDescent="0.25">
      <c r="A5" s="121" t="s">
        <v>81</v>
      </c>
      <c r="B5" s="121" t="s">
        <v>151</v>
      </c>
      <c r="C5" s="121" t="s">
        <v>75</v>
      </c>
      <c r="D5" s="121" t="s">
        <v>152</v>
      </c>
      <c r="E5" s="121" t="s">
        <v>40</v>
      </c>
      <c r="F5" s="216" t="s">
        <v>153</v>
      </c>
      <c r="G5" s="216">
        <v>1.5</v>
      </c>
      <c r="H5" s="217">
        <v>35</v>
      </c>
      <c r="I5" s="204">
        <f t="shared" si="0"/>
        <v>52.5</v>
      </c>
      <c r="J5" s="121">
        <v>1</v>
      </c>
      <c r="K5" s="122" t="s">
        <v>76</v>
      </c>
      <c r="L5" s="121"/>
      <c r="M5" s="121"/>
      <c r="N5" s="121"/>
      <c r="O5" s="76"/>
    </row>
    <row r="6" spans="1:15" x14ac:dyDescent="0.25">
      <c r="A6" s="121" t="s">
        <v>154</v>
      </c>
      <c r="B6" s="121" t="s">
        <v>155</v>
      </c>
      <c r="C6" s="121" t="s">
        <v>75</v>
      </c>
      <c r="D6" s="121" t="s">
        <v>152</v>
      </c>
      <c r="E6" s="121" t="s">
        <v>156</v>
      </c>
      <c r="F6" s="216" t="s">
        <v>157</v>
      </c>
      <c r="G6" s="216">
        <v>21</v>
      </c>
      <c r="H6" s="218">
        <v>4.45</v>
      </c>
      <c r="I6" s="204">
        <f t="shared" si="0"/>
        <v>93.45</v>
      </c>
      <c r="J6" s="121">
        <v>2</v>
      </c>
      <c r="K6" s="122" t="s">
        <v>76</v>
      </c>
      <c r="L6" s="121"/>
      <c r="M6" s="121"/>
      <c r="N6" s="121"/>
      <c r="O6" s="76"/>
    </row>
    <row r="7" spans="1:15" x14ac:dyDescent="0.25">
      <c r="A7" s="121" t="s">
        <v>158</v>
      </c>
      <c r="B7" s="121" t="s">
        <v>79</v>
      </c>
      <c r="C7" s="121" t="s">
        <v>77</v>
      </c>
      <c r="D7" s="121" t="s">
        <v>152</v>
      </c>
      <c r="E7" s="121" t="s">
        <v>41</v>
      </c>
      <c r="F7" s="216" t="s">
        <v>159</v>
      </c>
      <c r="G7" s="216">
        <v>4.9000000000000004</v>
      </c>
      <c r="H7" s="218">
        <v>2.73</v>
      </c>
      <c r="I7" s="204">
        <f t="shared" si="0"/>
        <v>13.377000000000001</v>
      </c>
      <c r="J7" s="121">
        <v>3</v>
      </c>
      <c r="K7" s="122" t="s">
        <v>76</v>
      </c>
      <c r="L7" s="121"/>
      <c r="M7" s="137"/>
      <c r="N7" s="121"/>
      <c r="O7" s="76"/>
    </row>
    <row r="8" spans="1:15" x14ac:dyDescent="0.25">
      <c r="A8" s="121" t="s">
        <v>158</v>
      </c>
      <c r="B8" s="121" t="s">
        <v>160</v>
      </c>
      <c r="C8" s="121" t="s">
        <v>77</v>
      </c>
      <c r="D8" s="121" t="s">
        <v>152</v>
      </c>
      <c r="E8" s="121" t="s">
        <v>41</v>
      </c>
      <c r="F8" s="216">
        <v>4</v>
      </c>
      <c r="G8" s="216">
        <v>4</v>
      </c>
      <c r="H8" s="218">
        <v>8</v>
      </c>
      <c r="I8" s="204">
        <f t="shared" si="0"/>
        <v>32</v>
      </c>
      <c r="J8" s="121">
        <v>3</v>
      </c>
      <c r="K8" s="122" t="s">
        <v>76</v>
      </c>
      <c r="L8" s="121"/>
      <c r="M8" s="137"/>
      <c r="N8" s="121"/>
      <c r="O8" s="76"/>
    </row>
    <row r="9" spans="1:15" x14ac:dyDescent="0.25">
      <c r="A9" s="121" t="s">
        <v>158</v>
      </c>
      <c r="B9" s="121" t="s">
        <v>161</v>
      </c>
      <c r="C9" s="121" t="s">
        <v>77</v>
      </c>
      <c r="D9" s="121" t="s">
        <v>152</v>
      </c>
      <c r="E9" s="121" t="s">
        <v>41</v>
      </c>
      <c r="F9" s="216" t="s">
        <v>162</v>
      </c>
      <c r="G9" s="216">
        <v>4.5</v>
      </c>
      <c r="H9" s="218">
        <v>10.5</v>
      </c>
      <c r="I9" s="204">
        <f t="shared" si="0"/>
        <v>47.25</v>
      </c>
      <c r="J9" s="121">
        <v>3</v>
      </c>
      <c r="K9" s="122" t="s">
        <v>76</v>
      </c>
      <c r="L9" s="121"/>
      <c r="M9" s="138"/>
      <c r="N9" s="121"/>
      <c r="O9" s="76"/>
    </row>
    <row r="10" spans="1:15" x14ac:dyDescent="0.25">
      <c r="A10" s="121" t="s">
        <v>158</v>
      </c>
      <c r="B10" s="121" t="s">
        <v>80</v>
      </c>
      <c r="C10" s="121" t="s">
        <v>77</v>
      </c>
      <c r="D10" s="121" t="s">
        <v>152</v>
      </c>
      <c r="E10" s="121" t="s">
        <v>9</v>
      </c>
      <c r="F10" s="216">
        <v>1.3</v>
      </c>
      <c r="G10" s="216">
        <v>1.3</v>
      </c>
      <c r="H10" s="218">
        <v>19.989999999999998</v>
      </c>
      <c r="I10" s="204">
        <f t="shared" si="0"/>
        <v>25.986999999999998</v>
      </c>
      <c r="J10" s="121">
        <v>3</v>
      </c>
      <c r="K10" s="122" t="s">
        <v>76</v>
      </c>
      <c r="L10" s="121"/>
      <c r="M10" s="137"/>
      <c r="N10" s="121"/>
      <c r="O10" s="76"/>
    </row>
    <row r="11" spans="1:15" x14ac:dyDescent="0.25">
      <c r="A11" s="121" t="s">
        <v>154</v>
      </c>
      <c r="B11" s="121" t="s">
        <v>155</v>
      </c>
      <c r="C11" s="121" t="s">
        <v>75</v>
      </c>
      <c r="D11" s="121" t="s">
        <v>152</v>
      </c>
      <c r="E11" s="121" t="s">
        <v>156</v>
      </c>
      <c r="F11" s="216" t="s">
        <v>157</v>
      </c>
      <c r="G11" s="216">
        <v>21</v>
      </c>
      <c r="H11" s="218">
        <v>4.2</v>
      </c>
      <c r="I11" s="204">
        <f t="shared" si="0"/>
        <v>88.2</v>
      </c>
      <c r="J11" s="121">
        <v>2</v>
      </c>
      <c r="K11" s="122" t="s">
        <v>76</v>
      </c>
      <c r="L11" s="121"/>
      <c r="M11" s="137"/>
      <c r="N11" s="121"/>
      <c r="O11" s="76"/>
    </row>
    <row r="12" spans="1:15" x14ac:dyDescent="0.25">
      <c r="A12" s="121" t="s">
        <v>83</v>
      </c>
      <c r="B12" s="121" t="s">
        <v>85</v>
      </c>
      <c r="C12" s="121" t="s">
        <v>78</v>
      </c>
      <c r="D12" s="121" t="s">
        <v>86</v>
      </c>
      <c r="E12" s="121" t="s">
        <v>41</v>
      </c>
      <c r="F12" s="216">
        <v>11</v>
      </c>
      <c r="G12" s="216">
        <v>11</v>
      </c>
      <c r="H12" s="217">
        <v>0.47</v>
      </c>
      <c r="I12" s="204">
        <f t="shared" si="0"/>
        <v>5.17</v>
      </c>
      <c r="J12" s="121">
        <v>4</v>
      </c>
      <c r="K12" s="122" t="s">
        <v>82</v>
      </c>
      <c r="L12" s="121"/>
      <c r="M12" s="137"/>
      <c r="N12" s="124"/>
      <c r="O12" s="76"/>
    </row>
    <row r="13" spans="1:15" x14ac:dyDescent="0.25">
      <c r="A13" s="125" t="s">
        <v>84</v>
      </c>
      <c r="B13" s="125" t="s">
        <v>85</v>
      </c>
      <c r="C13" s="125" t="s">
        <v>78</v>
      </c>
      <c r="D13" s="125" t="s">
        <v>86</v>
      </c>
      <c r="E13" s="125" t="s">
        <v>41</v>
      </c>
      <c r="F13" s="219">
        <v>11</v>
      </c>
      <c r="G13" s="219">
        <v>11</v>
      </c>
      <c r="H13" s="220">
        <v>0.47</v>
      </c>
      <c r="I13" s="205">
        <f t="shared" si="0"/>
        <v>5.17</v>
      </c>
      <c r="J13" s="125">
        <v>4</v>
      </c>
      <c r="K13" s="144" t="s">
        <v>82</v>
      </c>
      <c r="L13" s="121"/>
      <c r="M13" s="136"/>
      <c r="N13" s="121"/>
      <c r="O13" s="76"/>
    </row>
    <row r="14" spans="1:15" x14ac:dyDescent="0.25">
      <c r="A14" s="76"/>
      <c r="B14" s="76"/>
      <c r="C14" s="76"/>
      <c r="D14" s="76"/>
      <c r="E14" s="76"/>
      <c r="F14" s="76"/>
      <c r="G14" s="76"/>
      <c r="H14" s="206" t="s">
        <v>71</v>
      </c>
      <c r="I14" s="203">
        <f>SUM(I3:I13)</f>
        <v>2551.1039999999998</v>
      </c>
      <c r="J14" s="76"/>
      <c r="K14" s="77"/>
      <c r="L14" s="76"/>
      <c r="M14" s="135"/>
      <c r="N14" s="76"/>
      <c r="O14" s="76"/>
    </row>
    <row r="15" spans="1:15" x14ac:dyDescent="0.25">
      <c r="A15" s="76"/>
      <c r="B15" s="76"/>
      <c r="C15" s="76"/>
      <c r="D15" s="76"/>
      <c r="E15" s="76"/>
      <c r="F15" s="76"/>
      <c r="G15" s="76"/>
      <c r="H15" s="109"/>
      <c r="I15" s="110"/>
      <c r="J15" s="76"/>
      <c r="K15" s="77"/>
      <c r="L15" s="76"/>
      <c r="M15" s="76"/>
      <c r="N15" s="76"/>
      <c r="O15" s="76"/>
    </row>
    <row r="16" spans="1:15" x14ac:dyDescent="0.25">
      <c r="A16" s="125" t="s">
        <v>171</v>
      </c>
      <c r="B16" s="125" t="s">
        <v>70</v>
      </c>
      <c r="C16" s="125" t="s">
        <v>69</v>
      </c>
      <c r="D16" s="125" t="s">
        <v>172</v>
      </c>
      <c r="E16" s="76"/>
      <c r="F16" s="76"/>
      <c r="G16" s="76"/>
      <c r="J16" s="76"/>
      <c r="K16" s="77"/>
      <c r="L16" s="76"/>
      <c r="M16" s="76"/>
      <c r="N16" s="76"/>
      <c r="O16" s="76"/>
    </row>
    <row r="17" spans="1:15" x14ac:dyDescent="0.25">
      <c r="A17" s="109" t="s">
        <v>168</v>
      </c>
      <c r="B17" s="202">
        <f>AVERAGE(H5:H6,H11)</f>
        <v>14.550000000000002</v>
      </c>
      <c r="C17" s="145">
        <f>AVERAGE(G5:G6,G11)</f>
        <v>14.5</v>
      </c>
      <c r="D17" s="203">
        <f>SUM(I5+I6+I11)</f>
        <v>234.14999999999998</v>
      </c>
      <c r="E17" s="76"/>
      <c r="F17" s="76"/>
      <c r="G17" s="76"/>
      <c r="J17" s="76"/>
      <c r="K17" s="77"/>
      <c r="L17" s="76"/>
      <c r="M17" s="76"/>
      <c r="N17" s="76"/>
      <c r="O17" s="76"/>
    </row>
    <row r="18" spans="1:15" x14ac:dyDescent="0.25">
      <c r="A18" s="109" t="s">
        <v>169</v>
      </c>
      <c r="B18" s="202">
        <f>AVERAGE(H7:H10)</f>
        <v>10.305</v>
      </c>
      <c r="C18" s="145">
        <f>AVERAGE(G7:G10)</f>
        <v>3.6750000000000003</v>
      </c>
      <c r="D18" s="203">
        <f>SUM(I7:I10)</f>
        <v>118.614</v>
      </c>
      <c r="E18" s="76"/>
      <c r="F18" s="76"/>
      <c r="G18" s="76"/>
      <c r="J18" s="76"/>
      <c r="K18" s="77"/>
      <c r="L18" s="76"/>
      <c r="M18" s="76"/>
      <c r="N18" s="76"/>
      <c r="O18" s="76"/>
    </row>
    <row r="19" spans="1:15" x14ac:dyDescent="0.25">
      <c r="A19" s="109" t="s">
        <v>170</v>
      </c>
      <c r="B19" s="202">
        <f>AVERAGE(H12:H13)</f>
        <v>0.47</v>
      </c>
      <c r="C19" s="145">
        <f>AVERAGE(G12:G13)</f>
        <v>11</v>
      </c>
      <c r="D19" s="203">
        <f>SUM(I12,I13)</f>
        <v>10.34</v>
      </c>
      <c r="E19" s="76"/>
      <c r="F19" s="76"/>
      <c r="G19" s="76"/>
      <c r="H19" s="109"/>
      <c r="I19" s="110"/>
      <c r="J19" s="76"/>
      <c r="K19" s="77"/>
      <c r="L19" s="76"/>
      <c r="M19" s="76"/>
      <c r="N19" s="76"/>
      <c r="O19" s="76"/>
    </row>
    <row r="20" spans="1:15" x14ac:dyDescent="0.25">
      <c r="A20" s="76"/>
      <c r="B20" s="76"/>
      <c r="C20" s="76"/>
      <c r="D20" s="76"/>
      <c r="E20" s="76"/>
      <c r="F20" s="76"/>
      <c r="G20" s="76"/>
      <c r="H20" s="109"/>
      <c r="I20" s="110"/>
      <c r="J20" s="76"/>
      <c r="K20" s="77"/>
      <c r="L20" s="76"/>
      <c r="M20" s="76"/>
      <c r="N20" s="76"/>
      <c r="O20" s="76"/>
    </row>
    <row r="21" spans="1:15" hidden="1" x14ac:dyDescent="0.25">
      <c r="A21" s="76"/>
      <c r="B21" s="76"/>
      <c r="C21" s="76"/>
      <c r="D21" s="76"/>
      <c r="E21" s="76"/>
      <c r="F21" s="76"/>
      <c r="G21" s="76"/>
      <c r="H21" s="109"/>
      <c r="I21" s="110"/>
      <c r="J21" s="76"/>
      <c r="K21" s="77"/>
      <c r="L21" s="76"/>
      <c r="M21" s="76"/>
      <c r="N21" s="76"/>
      <c r="O21" s="76"/>
    </row>
    <row r="22" spans="1:15" hidden="1" x14ac:dyDescent="0.25">
      <c r="A22" s="76"/>
      <c r="B22" s="76"/>
      <c r="C22" s="76"/>
      <c r="D22" s="76"/>
      <c r="E22" s="76"/>
      <c r="F22" s="76"/>
      <c r="G22" s="76"/>
      <c r="H22" s="109"/>
      <c r="I22" s="110"/>
      <c r="J22" s="76"/>
      <c r="K22" s="77"/>
      <c r="L22" s="76"/>
      <c r="M22" s="76"/>
      <c r="N22" s="76"/>
      <c r="O22" s="76"/>
    </row>
    <row r="23" spans="1:15" hidden="1" x14ac:dyDescent="0.25">
      <c r="A23" s="76"/>
      <c r="B23" s="76"/>
      <c r="C23" s="76"/>
      <c r="D23" s="76"/>
      <c r="E23" s="76"/>
      <c r="F23" s="76"/>
      <c r="G23" s="76"/>
      <c r="H23" s="109"/>
      <c r="I23" s="110"/>
      <c r="J23" s="76"/>
      <c r="K23" s="77"/>
      <c r="L23" s="76"/>
      <c r="M23" s="76"/>
      <c r="N23" s="76"/>
      <c r="O23" s="76"/>
    </row>
    <row r="24" spans="1:15" hidden="1" x14ac:dyDescent="0.25">
      <c r="A24" s="76"/>
      <c r="B24" s="76"/>
      <c r="C24" s="76"/>
      <c r="D24" s="76"/>
      <c r="E24" s="76"/>
      <c r="F24" s="76"/>
      <c r="G24" s="76"/>
      <c r="H24" s="109"/>
      <c r="I24" s="110"/>
      <c r="J24" s="76"/>
      <c r="K24" s="77"/>
      <c r="L24" s="76"/>
      <c r="M24" s="76"/>
      <c r="N24" s="76"/>
      <c r="O24" s="76"/>
    </row>
    <row r="25" spans="1:15" hidden="1" x14ac:dyDescent="0.25">
      <c r="A25" s="76"/>
      <c r="B25" s="76"/>
      <c r="C25" s="76"/>
      <c r="D25" s="76"/>
      <c r="E25" s="76"/>
      <c r="F25" s="76"/>
      <c r="G25" s="76"/>
      <c r="H25" s="109"/>
      <c r="I25" s="110"/>
      <c r="J25" s="111"/>
      <c r="K25" s="77"/>
      <c r="L25" s="76"/>
      <c r="M25" s="76"/>
      <c r="N25" s="76"/>
      <c r="O25" s="76"/>
    </row>
    <row r="26" spans="1:15" hidden="1" x14ac:dyDescent="0.25">
      <c r="A26" s="76"/>
      <c r="B26" s="76"/>
      <c r="C26" s="76"/>
      <c r="D26" s="76"/>
      <c r="E26" s="76"/>
      <c r="F26" s="76"/>
      <c r="G26" s="76"/>
      <c r="H26" s="109"/>
      <c r="I26" s="110"/>
      <c r="J26" s="111"/>
      <c r="K26" s="77"/>
      <c r="L26" s="76"/>
      <c r="M26" s="76"/>
      <c r="N26" s="76"/>
      <c r="O26" s="76"/>
    </row>
    <row r="27" spans="1:15" hidden="1" x14ac:dyDescent="0.25">
      <c r="A27" s="76"/>
      <c r="B27" s="76"/>
      <c r="C27" s="76"/>
      <c r="D27" s="76"/>
      <c r="E27" s="76"/>
      <c r="F27" s="76"/>
      <c r="G27" s="76"/>
      <c r="H27" s="109"/>
      <c r="I27" s="110"/>
      <c r="J27" s="111"/>
      <c r="K27" s="77"/>
      <c r="L27" s="76"/>
      <c r="M27" s="76"/>
      <c r="N27" s="76"/>
      <c r="O27" s="76"/>
    </row>
    <row r="28" spans="1:15" hidden="1" x14ac:dyDescent="0.25">
      <c r="A28" s="76"/>
      <c r="B28" s="76"/>
      <c r="C28" s="76"/>
      <c r="D28" s="76"/>
      <c r="E28" s="76"/>
      <c r="F28" s="76"/>
      <c r="G28" s="76"/>
      <c r="H28" s="109"/>
      <c r="I28" s="110"/>
      <c r="J28" s="111"/>
      <c r="K28" s="77"/>
      <c r="L28" s="76"/>
      <c r="M28" s="76"/>
      <c r="N28" s="76"/>
      <c r="O28" s="76"/>
    </row>
    <row r="29" spans="1:15" hidden="1" x14ac:dyDescent="0.25">
      <c r="A29" s="76"/>
      <c r="B29" s="76"/>
      <c r="C29" s="76"/>
      <c r="D29" s="76"/>
      <c r="E29" s="76"/>
      <c r="F29" s="76"/>
      <c r="G29" s="76"/>
      <c r="H29" s="109"/>
      <c r="I29" s="110"/>
      <c r="J29" s="111"/>
      <c r="K29" s="77"/>
      <c r="L29" s="76"/>
      <c r="M29" s="76"/>
      <c r="N29" s="76"/>
      <c r="O29" s="76"/>
    </row>
    <row r="30" spans="1:15" hidden="1" x14ac:dyDescent="0.25">
      <c r="A30" s="76"/>
      <c r="B30" s="76"/>
      <c r="C30" s="76"/>
      <c r="D30" s="76"/>
      <c r="E30" s="76"/>
      <c r="F30" s="76"/>
      <c r="G30" s="76"/>
      <c r="H30" s="112"/>
      <c r="I30" s="113"/>
      <c r="J30" s="114"/>
      <c r="K30" s="76"/>
      <c r="L30" s="76"/>
      <c r="M30" s="76"/>
      <c r="N30" s="76"/>
      <c r="O30" s="76"/>
    </row>
    <row r="31" spans="1:15" hidden="1" x14ac:dyDescent="0.25">
      <c r="A31" s="76"/>
      <c r="B31" s="76"/>
      <c r="C31" s="76"/>
      <c r="D31" s="76"/>
      <c r="E31" s="76"/>
      <c r="F31" s="76"/>
      <c r="G31" s="76"/>
      <c r="H31" s="115"/>
      <c r="I31" s="76"/>
      <c r="J31" s="76"/>
      <c r="K31" s="76"/>
      <c r="L31" s="76"/>
      <c r="M31" s="76"/>
      <c r="N31" s="76"/>
      <c r="O31" s="76"/>
    </row>
    <row r="32" spans="1:15" ht="24" hidden="1" x14ac:dyDescent="0.4">
      <c r="A32" s="104"/>
      <c r="B32" s="76"/>
      <c r="C32" s="76"/>
      <c r="D32" s="76"/>
      <c r="E32" s="76"/>
      <c r="F32" s="76"/>
      <c r="G32" s="76"/>
      <c r="H32" s="115"/>
      <c r="I32" s="76"/>
      <c r="J32" s="76"/>
      <c r="K32" s="76"/>
      <c r="L32" s="76"/>
      <c r="M32" s="76"/>
      <c r="N32" s="76"/>
      <c r="O32" s="76"/>
    </row>
    <row r="33" spans="1:15" hidden="1" x14ac:dyDescent="0.25">
      <c r="A33" s="105"/>
      <c r="B33" s="105"/>
      <c r="C33" s="105"/>
      <c r="D33" s="105"/>
      <c r="E33" s="105"/>
      <c r="F33" s="106"/>
      <c r="G33" s="106"/>
      <c r="H33" s="106"/>
      <c r="I33" s="106"/>
      <c r="J33" s="107"/>
      <c r="K33" s="107"/>
      <c r="L33" s="76"/>
      <c r="M33" s="76"/>
      <c r="N33" s="76"/>
      <c r="O33" s="76"/>
    </row>
    <row r="34" spans="1:15" hidden="1" x14ac:dyDescent="0.25">
      <c r="A34" s="76"/>
      <c r="B34" s="105"/>
      <c r="C34" s="105"/>
      <c r="D34" s="108"/>
      <c r="E34" s="76"/>
      <c r="F34" s="108"/>
      <c r="G34" s="108"/>
      <c r="H34" s="108"/>
      <c r="I34" s="108"/>
      <c r="J34" s="107"/>
      <c r="K34" s="76"/>
      <c r="L34" s="76"/>
      <c r="M34" s="76"/>
      <c r="N34" s="76"/>
      <c r="O34" s="76"/>
    </row>
    <row r="35" spans="1:15" hidden="1" x14ac:dyDescent="0.25">
      <c r="A35" s="76"/>
      <c r="B35" s="76"/>
      <c r="C35" s="76"/>
      <c r="D35" s="76"/>
      <c r="E35" s="76"/>
      <c r="F35" s="76"/>
      <c r="G35" s="76"/>
      <c r="H35" s="109"/>
      <c r="I35" s="77"/>
      <c r="J35" s="76"/>
      <c r="K35" s="77"/>
      <c r="L35" s="76"/>
      <c r="M35" s="76"/>
      <c r="N35" s="109"/>
      <c r="O35" s="76"/>
    </row>
    <row r="36" spans="1:15" hidden="1" x14ac:dyDescent="0.25">
      <c r="A36" s="76"/>
      <c r="B36" s="76"/>
      <c r="C36" s="76"/>
      <c r="D36" s="76"/>
      <c r="E36" s="76"/>
      <c r="F36" s="76"/>
      <c r="G36" s="76"/>
      <c r="H36" s="109"/>
      <c r="I36" s="110"/>
      <c r="J36" s="76"/>
      <c r="K36" s="77"/>
      <c r="L36" s="76"/>
      <c r="M36" s="76"/>
      <c r="N36" s="109"/>
      <c r="O36" s="76"/>
    </row>
    <row r="37" spans="1:15" hidden="1" x14ac:dyDescent="0.25">
      <c r="A37" s="76"/>
      <c r="B37" s="76"/>
      <c r="C37" s="76"/>
      <c r="D37" s="76"/>
      <c r="E37" s="76"/>
      <c r="F37" s="76"/>
      <c r="G37" s="76"/>
      <c r="H37" s="76"/>
      <c r="I37" s="110"/>
      <c r="J37" s="76"/>
      <c r="K37" s="77"/>
      <c r="L37" s="76"/>
      <c r="M37" s="76"/>
      <c r="N37" s="109"/>
      <c r="O37" s="76"/>
    </row>
    <row r="38" spans="1:15" hidden="1" x14ac:dyDescent="0.25">
      <c r="A38" s="76"/>
      <c r="B38" s="76"/>
      <c r="C38" s="76"/>
      <c r="D38" s="76"/>
      <c r="E38" s="76"/>
      <c r="F38" s="76"/>
      <c r="G38" s="76"/>
      <c r="H38" s="109"/>
      <c r="I38" s="110"/>
      <c r="J38" s="76"/>
      <c r="K38" s="77"/>
      <c r="L38" s="76"/>
      <c r="M38" s="76"/>
      <c r="N38" s="109"/>
      <c r="O38" s="76"/>
    </row>
    <row r="39" spans="1:15" hidden="1" x14ac:dyDescent="0.25">
      <c r="A39" s="76"/>
      <c r="B39" s="76"/>
      <c r="C39" s="76"/>
      <c r="D39" s="76"/>
      <c r="E39" s="76"/>
      <c r="F39" s="76"/>
      <c r="G39" s="76"/>
      <c r="H39" s="76"/>
      <c r="I39" s="110"/>
      <c r="J39" s="76"/>
      <c r="K39" s="77"/>
      <c r="L39" s="76"/>
      <c r="M39" s="76"/>
      <c r="N39" s="76"/>
      <c r="O39" s="76"/>
    </row>
    <row r="40" spans="1:15" hidden="1" x14ac:dyDescent="0.25">
      <c r="A40" s="76"/>
      <c r="B40" s="76"/>
      <c r="C40" s="76"/>
      <c r="D40" s="76"/>
      <c r="E40" s="76"/>
      <c r="F40" s="76"/>
      <c r="G40" s="76"/>
      <c r="H40" s="76"/>
      <c r="I40" s="110"/>
      <c r="J40" s="76"/>
      <c r="K40" s="77"/>
      <c r="L40" s="76"/>
      <c r="M40" s="76"/>
      <c r="N40" s="76"/>
      <c r="O40" s="76"/>
    </row>
    <row r="41" spans="1:15" hidden="1" x14ac:dyDescent="0.25">
      <c r="A41" s="76"/>
      <c r="B41" s="76"/>
      <c r="C41" s="76"/>
      <c r="D41" s="76"/>
      <c r="E41" s="76"/>
      <c r="F41" s="76"/>
      <c r="G41" s="76"/>
      <c r="H41" s="109"/>
      <c r="I41" s="110"/>
      <c r="J41" s="76"/>
      <c r="K41" s="77"/>
      <c r="L41" s="76"/>
      <c r="M41" s="76"/>
      <c r="N41" s="76"/>
      <c r="O41" s="76"/>
    </row>
    <row r="42" spans="1:15" hidden="1" x14ac:dyDescent="0.25">
      <c r="A42" s="76"/>
      <c r="B42" s="76"/>
      <c r="C42" s="76"/>
      <c r="D42" s="76"/>
      <c r="E42" s="76"/>
      <c r="F42" s="76"/>
      <c r="G42" s="76"/>
      <c r="H42" s="76"/>
      <c r="I42" s="110"/>
      <c r="J42" s="76"/>
      <c r="K42" s="77"/>
      <c r="L42" s="76"/>
      <c r="M42" s="76"/>
      <c r="N42" s="76"/>
      <c r="O42" s="76"/>
    </row>
    <row r="43" spans="1:15" hidden="1" x14ac:dyDescent="0.25">
      <c r="A43" s="76"/>
      <c r="B43" s="76"/>
      <c r="C43" s="76"/>
      <c r="D43" s="76"/>
      <c r="E43" s="76"/>
      <c r="F43" s="76"/>
      <c r="G43" s="76"/>
      <c r="H43" s="76"/>
      <c r="I43" s="110"/>
      <c r="J43" s="76"/>
      <c r="K43" s="77"/>
      <c r="L43" s="76"/>
      <c r="M43" s="76"/>
      <c r="N43" s="76"/>
      <c r="O43" s="76"/>
    </row>
    <row r="44" spans="1:15" hidden="1" x14ac:dyDescent="0.25">
      <c r="A44" s="76"/>
      <c r="B44" s="76"/>
      <c r="C44" s="76"/>
      <c r="D44" s="76"/>
      <c r="E44" s="76"/>
      <c r="F44" s="76"/>
      <c r="G44" s="76"/>
      <c r="H44" s="109"/>
      <c r="I44" s="110"/>
      <c r="J44" s="111"/>
      <c r="K44" s="77"/>
      <c r="L44" s="76"/>
      <c r="M44" s="76"/>
      <c r="N44" s="76"/>
      <c r="O44" s="76"/>
    </row>
    <row r="45" spans="1:15" hidden="1" x14ac:dyDescent="0.25">
      <c r="A45" s="76"/>
      <c r="B45" s="76"/>
      <c r="C45" s="76"/>
      <c r="D45" s="76"/>
      <c r="E45" s="76"/>
      <c r="F45" s="76"/>
      <c r="G45" s="76"/>
      <c r="H45" s="109"/>
      <c r="I45" s="110"/>
      <c r="J45" s="111"/>
      <c r="K45" s="77"/>
      <c r="L45" s="76"/>
      <c r="M45" s="76"/>
      <c r="N45" s="76"/>
      <c r="O45" s="76"/>
    </row>
    <row r="46" spans="1:15" hidden="1" x14ac:dyDescent="0.25">
      <c r="A46" s="76"/>
      <c r="B46" s="76"/>
      <c r="C46" s="76"/>
      <c r="D46" s="76"/>
      <c r="E46" s="76"/>
      <c r="F46" s="76"/>
      <c r="G46" s="76"/>
      <c r="H46" s="109"/>
      <c r="I46" s="110"/>
      <c r="J46" s="111"/>
      <c r="K46" s="77"/>
      <c r="L46" s="76"/>
      <c r="M46" s="76"/>
      <c r="N46" s="76"/>
      <c r="O46" s="76"/>
    </row>
    <row r="47" spans="1:15" hidden="1" x14ac:dyDescent="0.25">
      <c r="A47" s="76"/>
      <c r="B47" s="76"/>
      <c r="C47" s="76"/>
      <c r="D47" s="76"/>
      <c r="E47" s="76"/>
      <c r="F47" s="76"/>
      <c r="G47" s="76"/>
      <c r="H47" s="109"/>
      <c r="I47" s="110"/>
      <c r="J47" s="111"/>
      <c r="K47" s="77"/>
      <c r="L47" s="76"/>
      <c r="M47" s="76"/>
      <c r="N47" s="76"/>
      <c r="O47" s="76"/>
    </row>
    <row r="48" spans="1:15" hidden="1" x14ac:dyDescent="0.25">
      <c r="A48" s="76"/>
      <c r="B48" s="76"/>
      <c r="C48" s="76"/>
      <c r="D48" s="76"/>
      <c r="E48" s="76"/>
      <c r="F48" s="76"/>
      <c r="G48" s="76"/>
      <c r="H48" s="112"/>
      <c r="I48" s="113"/>
      <c r="J48" s="114"/>
      <c r="K48" s="76"/>
      <c r="L48" s="76"/>
      <c r="M48" s="76"/>
      <c r="N48" s="76"/>
      <c r="O48" s="76"/>
    </row>
    <row r="49" spans="1:15" hidden="1" x14ac:dyDescent="0.25">
      <c r="A49" s="76"/>
      <c r="B49" s="76"/>
      <c r="C49" s="76"/>
      <c r="D49" s="76"/>
      <c r="E49" s="76"/>
      <c r="F49" s="77"/>
      <c r="G49" s="77"/>
      <c r="H49" s="115"/>
      <c r="I49" s="76"/>
      <c r="J49" s="76"/>
      <c r="K49" s="76"/>
      <c r="L49" s="76"/>
      <c r="M49" s="76"/>
      <c r="N49" s="76"/>
      <c r="O49" s="76"/>
    </row>
    <row r="50" spans="1:15" hidden="1" x14ac:dyDescent="0.25">
      <c r="A50" s="76"/>
      <c r="B50" s="76"/>
      <c r="C50" s="76"/>
      <c r="D50" s="76"/>
      <c r="E50" s="76"/>
      <c r="F50" s="76"/>
      <c r="G50" s="76"/>
      <c r="H50" s="116"/>
      <c r="I50" s="76"/>
      <c r="J50" s="116"/>
      <c r="K50" s="76"/>
      <c r="L50" s="76"/>
      <c r="M50" s="76"/>
      <c r="N50" s="76"/>
      <c r="O50" s="76"/>
    </row>
    <row r="51" spans="1:15" ht="24" hidden="1" x14ac:dyDescent="0.4">
      <c r="A51" s="104"/>
      <c r="B51" s="76"/>
      <c r="C51" s="76"/>
      <c r="D51" s="76"/>
      <c r="E51" s="76"/>
      <c r="F51" s="76"/>
      <c r="G51" s="76"/>
      <c r="H51" s="115"/>
      <c r="I51" s="76"/>
      <c r="J51" s="76"/>
      <c r="K51" s="76"/>
      <c r="L51" s="76"/>
      <c r="M51" s="76"/>
      <c r="N51" s="76"/>
      <c r="O51" s="76"/>
    </row>
    <row r="52" spans="1:15" hidden="1" x14ac:dyDescent="0.25">
      <c r="A52" s="105"/>
      <c r="B52" s="105"/>
      <c r="C52" s="105"/>
      <c r="D52" s="105"/>
      <c r="E52" s="105"/>
      <c r="F52" s="106"/>
      <c r="G52" s="106"/>
      <c r="H52" s="106"/>
      <c r="I52" s="106"/>
      <c r="J52" s="107"/>
      <c r="K52" s="107"/>
      <c r="L52" s="76"/>
      <c r="M52" s="76"/>
      <c r="N52" s="76"/>
      <c r="O52" s="76"/>
    </row>
    <row r="53" spans="1:15" hidden="1" x14ac:dyDescent="0.25">
      <c r="A53" s="76"/>
      <c r="B53" s="105"/>
      <c r="C53" s="105"/>
      <c r="D53" s="108"/>
      <c r="E53" s="76"/>
      <c r="F53" s="108"/>
      <c r="G53" s="108"/>
      <c r="H53" s="108"/>
      <c r="I53" s="108"/>
      <c r="J53" s="107"/>
      <c r="K53" s="76"/>
      <c r="L53" s="76"/>
      <c r="M53" s="76"/>
      <c r="N53" s="76"/>
      <c r="O53" s="76"/>
    </row>
    <row r="54" spans="1:15" hidden="1" x14ac:dyDescent="0.25">
      <c r="A54" s="76"/>
      <c r="B54" s="76"/>
      <c r="C54" s="76"/>
      <c r="D54" s="76"/>
      <c r="E54" s="76"/>
      <c r="F54" s="76"/>
      <c r="G54" s="76"/>
      <c r="H54" s="109"/>
      <c r="I54" s="110"/>
      <c r="J54" s="76"/>
      <c r="K54" s="77"/>
      <c r="L54" s="76"/>
      <c r="M54" s="76"/>
      <c r="N54" s="109"/>
      <c r="O54" s="76"/>
    </row>
    <row r="55" spans="1:15" hidden="1" x14ac:dyDescent="0.25">
      <c r="A55" s="76"/>
      <c r="B55" s="76"/>
      <c r="C55" s="76"/>
      <c r="D55" s="76"/>
      <c r="E55" s="76"/>
      <c r="F55" s="76"/>
      <c r="G55" s="76"/>
      <c r="H55" s="109"/>
      <c r="I55" s="110"/>
      <c r="J55" s="76"/>
      <c r="K55" s="77"/>
      <c r="L55" s="76"/>
      <c r="M55" s="117"/>
      <c r="N55" s="76"/>
      <c r="O55" s="76"/>
    </row>
    <row r="56" spans="1:15" hidden="1" x14ac:dyDescent="0.25">
      <c r="A56" s="76"/>
      <c r="B56" s="76"/>
      <c r="C56" s="76"/>
      <c r="D56" s="76"/>
      <c r="E56" s="76"/>
      <c r="F56" s="76"/>
      <c r="G56" s="76"/>
      <c r="H56" s="112"/>
      <c r="I56" s="113"/>
      <c r="J56" s="116"/>
      <c r="K56" s="76"/>
      <c r="L56" s="76"/>
      <c r="M56" s="76"/>
      <c r="N56" s="76"/>
      <c r="O56" s="76"/>
    </row>
  </sheetData>
  <sheetProtection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17DEE-8B60-4A8B-B6AD-CAC46E04C276}">
  <sheetPr>
    <pageSetUpPr fitToPage="1"/>
  </sheetPr>
  <dimension ref="A1:V101"/>
  <sheetViews>
    <sheetView zoomScaleNormal="100" workbookViewId="0">
      <selection activeCell="B46" sqref="B46"/>
    </sheetView>
  </sheetViews>
  <sheetFormatPr defaultColWidth="0" defaultRowHeight="15.75" zeroHeight="1" x14ac:dyDescent="0.25"/>
  <cols>
    <col min="1" max="1" width="2.875" style="79" customWidth="1"/>
    <col min="2" max="2" width="38.25" style="79" customWidth="1"/>
    <col min="3" max="3" width="8.625" style="79" customWidth="1"/>
    <col min="4" max="4" width="9.375" style="79" customWidth="1"/>
    <col min="5" max="6" width="10.25" style="79" customWidth="1"/>
    <col min="7" max="9" width="11.125" style="79" customWidth="1"/>
    <col min="10" max="10" width="9.625" style="79" customWidth="1"/>
    <col min="11" max="11" width="2.875" style="79" customWidth="1"/>
    <col min="12" max="12" width="34.875" style="79" customWidth="1"/>
    <col min="13" max="13" width="9.125" style="79" customWidth="1"/>
    <col min="14" max="14" width="12.25" style="79" customWidth="1"/>
    <col min="15" max="15" width="10.75" style="79" customWidth="1"/>
    <col min="16" max="16" width="10.125" style="79" customWidth="1"/>
    <col min="17" max="17" width="9.75" style="79" customWidth="1"/>
    <col min="18" max="18" width="10.125" style="79" customWidth="1"/>
    <col min="19" max="19" width="9.875" style="79" customWidth="1"/>
    <col min="20" max="20" width="2.875" style="79" customWidth="1"/>
    <col min="21" max="16384" width="8" style="79" hidden="1"/>
  </cols>
  <sheetData>
    <row r="1" spans="2:19" ht="15.95" customHeight="1" x14ac:dyDescent="0.25">
      <c r="B1" s="78" t="s">
        <v>102</v>
      </c>
      <c r="C1" s="78"/>
      <c r="D1" s="78"/>
      <c r="E1" s="78"/>
      <c r="F1" s="78"/>
      <c r="G1" s="78"/>
      <c r="H1" s="78"/>
      <c r="I1" s="78"/>
      <c r="L1" s="78" t="s">
        <v>103</v>
      </c>
    </row>
    <row r="2" spans="2:19" ht="33" customHeight="1" x14ac:dyDescent="0.25">
      <c r="B2" s="95" t="s">
        <v>104</v>
      </c>
      <c r="C2" s="95" t="s">
        <v>2</v>
      </c>
      <c r="D2" s="96" t="s">
        <v>2</v>
      </c>
      <c r="E2" s="96" t="s">
        <v>42</v>
      </c>
      <c r="F2" s="96" t="s">
        <v>105</v>
      </c>
      <c r="G2" s="97" t="s">
        <v>106</v>
      </c>
      <c r="H2" s="97" t="s">
        <v>107</v>
      </c>
      <c r="I2" s="97" t="s">
        <v>108</v>
      </c>
      <c r="J2" s="97" t="s">
        <v>223</v>
      </c>
      <c r="L2" s="95" t="s">
        <v>104</v>
      </c>
      <c r="M2" s="96" t="s">
        <v>109</v>
      </c>
      <c r="N2" s="96" t="s">
        <v>93</v>
      </c>
      <c r="O2" s="96" t="s">
        <v>110</v>
      </c>
      <c r="P2" s="96" t="s">
        <v>111</v>
      </c>
      <c r="Q2" s="96" t="s">
        <v>112</v>
      </c>
      <c r="R2" s="96" t="s">
        <v>113</v>
      </c>
      <c r="S2" s="96" t="s">
        <v>112</v>
      </c>
    </row>
    <row r="3" spans="2:19" ht="15.95" customHeight="1" x14ac:dyDescent="0.25">
      <c r="D3" s="77" t="s">
        <v>114</v>
      </c>
      <c r="E3" s="94" t="s">
        <v>112</v>
      </c>
      <c r="F3" s="94" t="s">
        <v>115</v>
      </c>
      <c r="G3" s="94" t="s">
        <v>74</v>
      </c>
      <c r="H3" s="94" t="s">
        <v>74</v>
      </c>
      <c r="I3" s="94" t="s">
        <v>116</v>
      </c>
      <c r="J3" s="149" t="s">
        <v>116</v>
      </c>
      <c r="M3" s="94" t="s">
        <v>117</v>
      </c>
      <c r="N3" s="94" t="s">
        <v>117</v>
      </c>
      <c r="O3" s="94" t="s">
        <v>117</v>
      </c>
      <c r="P3" s="94" t="s">
        <v>117</v>
      </c>
      <c r="Q3" s="94" t="s">
        <v>118</v>
      </c>
      <c r="R3" s="94" t="s">
        <v>119</v>
      </c>
      <c r="S3" s="94" t="s">
        <v>120</v>
      </c>
    </row>
    <row r="4" spans="2:19" ht="15.95" customHeight="1" x14ac:dyDescent="0.25">
      <c r="B4" s="79" t="str">
        <f>$L$5</f>
        <v>Airblast sprayer, 100 gallon; 45 HP MFWD</v>
      </c>
      <c r="C4" s="79" t="s">
        <v>53</v>
      </c>
      <c r="D4" s="87">
        <v>0</v>
      </c>
      <c r="E4" s="91">
        <f>D4*$Q$5</f>
        <v>0</v>
      </c>
      <c r="F4" s="91">
        <f>$M$4*$Q$5*D4</f>
        <v>0</v>
      </c>
      <c r="G4" s="91">
        <f>(E4*$M$16)+(F4*$M$17)+($P$4+$P$5)*$Q$5*D4</f>
        <v>0</v>
      </c>
      <c r="H4" s="91">
        <f>($N$4+$O$4+N5+O5)*$Q$5*D4</f>
        <v>0</v>
      </c>
      <c r="I4" s="91">
        <f>G4+H4</f>
        <v>0</v>
      </c>
      <c r="J4" s="292">
        <f>($P$4+P5)*D4*Q5</f>
        <v>0</v>
      </c>
      <c r="L4" s="186" t="s">
        <v>179</v>
      </c>
      <c r="M4" s="79">
        <v>1.98</v>
      </c>
      <c r="N4" s="79">
        <v>0.73</v>
      </c>
      <c r="O4" s="79">
        <v>2.61</v>
      </c>
      <c r="P4" s="79">
        <v>1.35</v>
      </c>
      <c r="Q4" s="79">
        <v>1</v>
      </c>
      <c r="R4" s="98">
        <v>10000</v>
      </c>
      <c r="S4" s="98">
        <v>400</v>
      </c>
    </row>
    <row r="5" spans="2:19" ht="15.95" customHeight="1" x14ac:dyDescent="0.25">
      <c r="B5" s="79" t="str">
        <f>$L$6</f>
        <v>Weed sprayer - pull-type; 45 HP MFWD</v>
      </c>
      <c r="C5" s="79" t="s">
        <v>53</v>
      </c>
      <c r="D5" s="87">
        <v>1</v>
      </c>
      <c r="E5" s="91">
        <f>D5*$Q$6</f>
        <v>0.26200000000000001</v>
      </c>
      <c r="F5" s="91">
        <f>$M$4*$Q$6*D5</f>
        <v>0.51876</v>
      </c>
      <c r="G5" s="91">
        <f>(E5*$M$16)+(F5*$M$17)+($P$4+$P$6)*$Q$6*D5</f>
        <v>7.2508500000000007</v>
      </c>
      <c r="H5" s="91">
        <f>($N$4+O$4+N$6+O$6)*$Q$6*D5</f>
        <v>3.4243400000000004</v>
      </c>
      <c r="I5" s="91">
        <f t="shared" ref="I5:I6" si="0">G5+H5</f>
        <v>10.675190000000001</v>
      </c>
      <c r="J5" s="292">
        <f t="shared" ref="J5:J9" si="1">($P$4+P6)*D5*Q6</f>
        <v>0.71788000000000007</v>
      </c>
      <c r="L5" s="79" t="s">
        <v>121</v>
      </c>
      <c r="N5" s="79">
        <v>3.59</v>
      </c>
      <c r="O5" s="79">
        <v>9.74</v>
      </c>
      <c r="P5" s="79">
        <v>2.69</v>
      </c>
      <c r="Q5" s="79">
        <v>0.55000000000000004</v>
      </c>
      <c r="R5" s="98">
        <v>8000</v>
      </c>
      <c r="S5" s="98">
        <v>50</v>
      </c>
    </row>
    <row r="6" spans="2:19" ht="15.95" customHeight="1" x14ac:dyDescent="0.25">
      <c r="B6" s="79" t="str">
        <f>$L$7</f>
        <v>Spreader - double spinner; 45 HP MFWD</v>
      </c>
      <c r="C6" s="79" t="s">
        <v>53</v>
      </c>
      <c r="D6" s="87">
        <v>2</v>
      </c>
      <c r="E6" s="91">
        <f>D6*$Q$7</f>
        <v>0.17199999999999999</v>
      </c>
      <c r="F6" s="91">
        <f>$M$4*$Q$7*D6</f>
        <v>0.34055999999999997</v>
      </c>
      <c r="G6" s="91">
        <f>(E6*$M$16)+(F6*$M$17)+($P$4+P7)*Q7*D6</f>
        <v>5.0937799999999989</v>
      </c>
      <c r="H6" s="91">
        <f>($N$4+$O$4+$N$7+$O$7)*$Q$7*D6</f>
        <v>3.2318799999999994</v>
      </c>
      <c r="I6" s="91">
        <f t="shared" si="0"/>
        <v>8.3256599999999992</v>
      </c>
      <c r="J6" s="292">
        <f t="shared" si="1"/>
        <v>0.8049599999999999</v>
      </c>
      <c r="L6" s="79" t="s">
        <v>122</v>
      </c>
      <c r="N6" s="79">
        <v>1.79</v>
      </c>
      <c r="O6" s="79">
        <v>7.94</v>
      </c>
      <c r="P6" s="79">
        <v>1.39</v>
      </c>
      <c r="Q6" s="79">
        <v>0.26200000000000001</v>
      </c>
      <c r="R6" s="98">
        <v>2700</v>
      </c>
      <c r="S6" s="98">
        <v>20</v>
      </c>
    </row>
    <row r="7" spans="2:19" ht="15.95" customHeight="1" x14ac:dyDescent="0.25">
      <c r="B7" s="79" t="str">
        <f>$L$8</f>
        <v>Finish mower, 8 ft.; 45 HP MFWD</v>
      </c>
      <c r="C7" s="79" t="s">
        <v>53</v>
      </c>
      <c r="D7" s="87">
        <v>1</v>
      </c>
      <c r="E7" s="91">
        <f>D7*Q8</f>
        <v>0.75</v>
      </c>
      <c r="F7" s="91">
        <f>$M$4*Q8*D7</f>
        <v>1.4849999999999999</v>
      </c>
      <c r="G7" s="91">
        <f>(E7*$M$16)+(F7*$M$17)+($P$4+P8)*Q8*D7</f>
        <v>22.353750000000002</v>
      </c>
      <c r="H7" s="91">
        <f>($N$4+$O$4+N8+O8)*Q8*D7</f>
        <v>9.4199999999999982</v>
      </c>
      <c r="I7" s="91">
        <f>G7+H7</f>
        <v>31.77375</v>
      </c>
      <c r="J7" s="292">
        <f t="shared" si="1"/>
        <v>3.6524999999999999</v>
      </c>
      <c r="L7" s="79" t="s">
        <v>123</v>
      </c>
      <c r="N7" s="79">
        <v>3.72</v>
      </c>
      <c r="O7" s="79">
        <v>11.73</v>
      </c>
      <c r="P7" s="79">
        <v>3.33</v>
      </c>
      <c r="Q7" s="79">
        <v>8.5999999999999993E-2</v>
      </c>
      <c r="R7" s="98">
        <v>4500</v>
      </c>
      <c r="S7" s="98">
        <v>20</v>
      </c>
    </row>
    <row r="8" spans="2:19" ht="15.95" customHeight="1" x14ac:dyDescent="0.25">
      <c r="B8" s="79" t="s">
        <v>213</v>
      </c>
      <c r="C8" s="79" t="s">
        <v>53</v>
      </c>
      <c r="D8" s="87">
        <v>1</v>
      </c>
      <c r="E8" s="91">
        <f>D8*Q9</f>
        <v>0.40699999999999997</v>
      </c>
      <c r="F8" s="91">
        <f>$M$4*Q9*D8</f>
        <v>0.80585999999999991</v>
      </c>
      <c r="G8" s="91">
        <f>(E8*$M$16)+(F8*$M$17)+($P$4+P9)*Q9*D8</f>
        <v>11.239304999999998</v>
      </c>
      <c r="H8" s="91">
        <f>($N$4+$O$4+N9+O9)*Q9*D8</f>
        <v>3.0199399999999996</v>
      </c>
      <c r="I8" s="91">
        <f>G8+H8</f>
        <v>14.259244999999998</v>
      </c>
      <c r="J8" s="292">
        <f t="shared" si="1"/>
        <v>1.09076</v>
      </c>
      <c r="L8" s="79" t="s">
        <v>180</v>
      </c>
      <c r="N8" s="79">
        <v>1.59</v>
      </c>
      <c r="O8" s="79">
        <v>7.63</v>
      </c>
      <c r="P8" s="79">
        <v>3.52</v>
      </c>
      <c r="Q8" s="79">
        <v>0.75</v>
      </c>
      <c r="R8" s="98">
        <v>3200</v>
      </c>
      <c r="S8" s="98">
        <v>25</v>
      </c>
    </row>
    <row r="9" spans="2:19" ht="15.95" customHeight="1" x14ac:dyDescent="0.25">
      <c r="B9" s="79" t="str">
        <f>L10</f>
        <v>Mulch wagon, side delivery, 45 HP MFWD</v>
      </c>
      <c r="C9" s="78" t="s">
        <v>53</v>
      </c>
      <c r="D9" s="279">
        <v>0</v>
      </c>
      <c r="E9" s="93">
        <f>D9*Q10</f>
        <v>0</v>
      </c>
      <c r="F9" s="93">
        <f>$M$4*Q10*D9</f>
        <v>0</v>
      </c>
      <c r="G9" s="93">
        <f>(E9*$M$16)+(F9*$M$17)+($P$4+P10)*Q10*D9</f>
        <v>0</v>
      </c>
      <c r="H9" s="93">
        <f>($N$4+$O$4+N10+O10)*Q10*D9</f>
        <v>0</v>
      </c>
      <c r="I9" s="93">
        <f>G9+H9</f>
        <v>0</v>
      </c>
      <c r="J9" s="293">
        <f t="shared" si="1"/>
        <v>0</v>
      </c>
      <c r="L9" s="79" t="s">
        <v>213</v>
      </c>
      <c r="N9" s="79">
        <v>0.98</v>
      </c>
      <c r="O9" s="91">
        <v>3.1</v>
      </c>
      <c r="P9" s="79">
        <v>1.33</v>
      </c>
      <c r="Q9" s="79">
        <v>0.40699999999999997</v>
      </c>
      <c r="R9" s="98">
        <v>2500</v>
      </c>
      <c r="S9" s="276">
        <v>75</v>
      </c>
    </row>
    <row r="10" spans="2:19" ht="15.95" customHeight="1" x14ac:dyDescent="0.25">
      <c r="B10" s="94" t="s">
        <v>124</v>
      </c>
      <c r="C10" s="94"/>
      <c r="E10" s="91">
        <f>SUM(E4:E8)</f>
        <v>1.591</v>
      </c>
      <c r="F10" s="91">
        <f>SUM(F4:F8)</f>
        <v>3.1501799999999998</v>
      </c>
      <c r="G10" s="91">
        <f>SUM(G4:G8)</f>
        <v>45.937685000000002</v>
      </c>
      <c r="H10" s="91">
        <f>SUM(H4:H8)</f>
        <v>19.096159999999998</v>
      </c>
      <c r="I10" s="91">
        <f>SUM(I4:I9)</f>
        <v>65.033844999999999</v>
      </c>
      <c r="J10" s="91">
        <f>SUM(J4:J9)</f>
        <v>6.2660999999999998</v>
      </c>
      <c r="L10" s="79" t="s">
        <v>215</v>
      </c>
      <c r="N10" s="91">
        <v>2.4</v>
      </c>
      <c r="O10" s="91">
        <v>8.4</v>
      </c>
      <c r="P10" s="91">
        <v>2.4</v>
      </c>
      <c r="Q10" s="91">
        <v>0.5</v>
      </c>
      <c r="R10" s="98">
        <v>4000</v>
      </c>
      <c r="S10" s="276">
        <v>30</v>
      </c>
    </row>
    <row r="11" spans="2:19" ht="15.95" customHeight="1" x14ac:dyDescent="0.25">
      <c r="I11" s="79" t="s">
        <v>224</v>
      </c>
      <c r="J11" s="79">
        <f>E10*$M$16+F10*$M$17+J10</f>
        <v>45.937685000000002</v>
      </c>
      <c r="L11" s="187"/>
      <c r="M11" s="188"/>
      <c r="N11" s="188"/>
      <c r="O11" s="188"/>
      <c r="P11" s="188"/>
      <c r="Q11" s="188"/>
      <c r="R11" s="189"/>
      <c r="S11" s="188"/>
    </row>
    <row r="12" spans="2:19" ht="15.95" customHeight="1" x14ac:dyDescent="0.25">
      <c r="B12" s="78" t="s">
        <v>125</v>
      </c>
    </row>
    <row r="13" spans="2:19" ht="15.95" customHeight="1" x14ac:dyDescent="0.25">
      <c r="B13" s="95" t="s">
        <v>104</v>
      </c>
      <c r="C13" s="95" t="s">
        <v>2</v>
      </c>
      <c r="D13" s="96" t="s">
        <v>2</v>
      </c>
      <c r="E13" s="96" t="s">
        <v>42</v>
      </c>
      <c r="F13" s="96" t="s">
        <v>105</v>
      </c>
      <c r="G13" s="97" t="s">
        <v>106</v>
      </c>
      <c r="H13" s="97" t="s">
        <v>107</v>
      </c>
      <c r="I13" s="97" t="s">
        <v>108</v>
      </c>
      <c r="J13" s="97" t="s">
        <v>223</v>
      </c>
      <c r="M13" s="94"/>
      <c r="N13" s="91"/>
    </row>
    <row r="14" spans="2:19" ht="15.95" customHeight="1" x14ac:dyDescent="0.25">
      <c r="D14" s="77" t="s">
        <v>114</v>
      </c>
      <c r="E14" s="94" t="s">
        <v>112</v>
      </c>
      <c r="F14" s="94" t="s">
        <v>115</v>
      </c>
      <c r="G14" s="94" t="s">
        <v>74</v>
      </c>
      <c r="H14" s="94" t="s">
        <v>74</v>
      </c>
      <c r="I14" s="94" t="s">
        <v>116</v>
      </c>
      <c r="J14" s="149" t="s">
        <v>116</v>
      </c>
      <c r="P14" s="86"/>
      <c r="Q14" s="86"/>
      <c r="R14" s="86"/>
    </row>
    <row r="15" spans="2:19" ht="18.75" customHeight="1" x14ac:dyDescent="0.25">
      <c r="B15" s="79" t="str">
        <f>$L$5</f>
        <v>Airblast sprayer, 100 gallon; 45 HP MFWD</v>
      </c>
      <c r="C15" s="79" t="s">
        <v>53</v>
      </c>
      <c r="D15" s="87">
        <v>6</v>
      </c>
      <c r="E15" s="91">
        <f>D15*$Q$5</f>
        <v>3.3000000000000003</v>
      </c>
      <c r="F15" s="91">
        <f>$M$4*$Q$5*D15</f>
        <v>6.5339999999999998</v>
      </c>
      <c r="G15" s="91">
        <f t="shared" ref="G15:G20" si="2">(E15*$M$16)+(F15*$M$17)+($P$4+P5)*Q5*D15</f>
        <v>95.617500000000007</v>
      </c>
      <c r="H15" s="91">
        <f>($N$4+$O$4)*$Q$5*D15</f>
        <v>11.022</v>
      </c>
      <c r="I15" s="91">
        <f>G15+H15</f>
        <v>106.63950000000001</v>
      </c>
      <c r="J15" s="292">
        <f>($P$4+P5)*D15*Q5</f>
        <v>13.332000000000003</v>
      </c>
      <c r="L15" s="275" t="s">
        <v>229</v>
      </c>
      <c r="M15" s="100">
        <v>0</v>
      </c>
      <c r="N15" s="101"/>
    </row>
    <row r="16" spans="2:19" ht="15.95" customHeight="1" x14ac:dyDescent="0.25">
      <c r="B16" s="79" t="str">
        <f>$L$6</f>
        <v>Weed sprayer - pull-type; 45 HP MFWD</v>
      </c>
      <c r="C16" s="79" t="s">
        <v>53</v>
      </c>
      <c r="D16" s="87">
        <v>3</v>
      </c>
      <c r="E16" s="91">
        <f>D16*$Q$6</f>
        <v>0.78600000000000003</v>
      </c>
      <c r="F16" s="91">
        <f>$M$4*$Q$6*D16</f>
        <v>1.5562800000000001</v>
      </c>
      <c r="G16" s="91">
        <f t="shared" si="2"/>
        <v>21.752549999999999</v>
      </c>
      <c r="H16" s="91">
        <f>($N$4+O$4+N$6+O$6)*$Q$6*D16</f>
        <v>10.273020000000001</v>
      </c>
      <c r="I16" s="91">
        <f t="shared" ref="I16:I17" si="3">G16+H16</f>
        <v>32.025570000000002</v>
      </c>
      <c r="J16" s="292">
        <f t="shared" ref="J16:J20" si="4">($P$4+P6)*D16*Q6</f>
        <v>2.1536400000000002</v>
      </c>
      <c r="L16" s="275" t="s">
        <v>126</v>
      </c>
      <c r="M16" s="91">
        <f>[2]Budget!D28</f>
        <v>18.5</v>
      </c>
      <c r="O16" s="91"/>
      <c r="P16" s="91"/>
      <c r="Q16" s="91"/>
    </row>
    <row r="17" spans="2:17" ht="15.95" customHeight="1" x14ac:dyDescent="0.25">
      <c r="B17" s="79" t="str">
        <f>$L$7</f>
        <v>Spreader - double spinner; 45 HP MFWD</v>
      </c>
      <c r="C17" s="79" t="s">
        <v>53</v>
      </c>
      <c r="D17" s="87">
        <v>2</v>
      </c>
      <c r="E17" s="91">
        <f>D17*$Q$7</f>
        <v>0.17199999999999999</v>
      </c>
      <c r="F17" s="91">
        <f>$M$4*$Q$7*D17</f>
        <v>0.34055999999999997</v>
      </c>
      <c r="G17" s="91">
        <f t="shared" si="2"/>
        <v>5.0937799999999989</v>
      </c>
      <c r="H17" s="91">
        <f>($N$4+$O$4+$N$7+$O$7)*$Q$7*D17</f>
        <v>3.2318799999999994</v>
      </c>
      <c r="I17" s="91">
        <f t="shared" si="3"/>
        <v>8.3256599999999992</v>
      </c>
      <c r="J17" s="292">
        <f t="shared" si="4"/>
        <v>0.8049599999999999</v>
      </c>
      <c r="L17" s="275" t="s">
        <v>127</v>
      </c>
      <c r="M17" s="91">
        <f>[2]Budget!D48</f>
        <v>3.25</v>
      </c>
      <c r="N17" s="94"/>
      <c r="O17" s="94"/>
      <c r="P17" s="94"/>
      <c r="Q17" s="94"/>
    </row>
    <row r="18" spans="2:17" ht="15.95" customHeight="1" x14ac:dyDescent="0.25">
      <c r="B18" s="79" t="str">
        <f>$L$8</f>
        <v>Finish mower, 8 ft.; 45 HP MFWD</v>
      </c>
      <c r="C18" s="79" t="s">
        <v>53</v>
      </c>
      <c r="D18" s="87">
        <v>5</v>
      </c>
      <c r="E18" s="91">
        <f>D18*Q8</f>
        <v>3.75</v>
      </c>
      <c r="F18" s="91">
        <f>$M$4*Q8*D18</f>
        <v>7.4249999999999989</v>
      </c>
      <c r="G18" s="91">
        <f t="shared" si="2"/>
        <v>111.76875</v>
      </c>
      <c r="H18" s="91">
        <f>($N$4+$O$4+N8+O8)*Q8*D18</f>
        <v>47.099999999999994</v>
      </c>
      <c r="I18" s="91">
        <f>G18+H18</f>
        <v>158.86874999999998</v>
      </c>
      <c r="J18" s="292">
        <f t="shared" si="4"/>
        <v>18.262500000000003</v>
      </c>
      <c r="L18" s="102"/>
      <c r="M18" s="94"/>
      <c r="N18" s="94"/>
      <c r="O18" s="94"/>
      <c r="P18" s="94"/>
      <c r="Q18" s="94"/>
    </row>
    <row r="19" spans="2:17" ht="15.95" customHeight="1" x14ac:dyDescent="0.25">
      <c r="B19" s="79" t="s">
        <v>213</v>
      </c>
      <c r="C19" s="79" t="s">
        <v>53</v>
      </c>
      <c r="D19" s="87">
        <v>3</v>
      </c>
      <c r="E19" s="91">
        <f>D19*Q9</f>
        <v>1.2209999999999999</v>
      </c>
      <c r="F19" s="91">
        <f>$M$4*Q9*D19</f>
        <v>2.4175799999999996</v>
      </c>
      <c r="G19" s="91">
        <f t="shared" si="2"/>
        <v>33.717914999999998</v>
      </c>
      <c r="H19" s="91">
        <f>($N$4+$O$4+N9+O9)*Q9*D19</f>
        <v>9.0598199999999984</v>
      </c>
      <c r="I19" s="91">
        <f>G19+H19</f>
        <v>42.777734999999993</v>
      </c>
      <c r="J19" s="292">
        <f t="shared" si="4"/>
        <v>3.2722800000000003</v>
      </c>
      <c r="L19" s="7"/>
      <c r="M19" s="94"/>
      <c r="N19" s="94"/>
      <c r="O19" s="94"/>
      <c r="P19" s="94"/>
      <c r="Q19" s="94"/>
    </row>
    <row r="20" spans="2:17" ht="15.95" customHeight="1" x14ac:dyDescent="0.25">
      <c r="B20" s="79" t="str">
        <f>L10</f>
        <v>Mulch wagon, side delivery, 45 HP MFWD</v>
      </c>
      <c r="C20" s="78" t="s">
        <v>53</v>
      </c>
      <c r="D20" s="279">
        <v>4</v>
      </c>
      <c r="E20" s="93">
        <f>D20*Q10</f>
        <v>2</v>
      </c>
      <c r="F20" s="93">
        <f>$M$4*Q10*D20</f>
        <v>3.96</v>
      </c>
      <c r="G20" s="93">
        <f t="shared" si="2"/>
        <v>57.37</v>
      </c>
      <c r="H20" s="93">
        <f>($N$4+$O$4+N10+O10)*Q10*D20</f>
        <v>28.28</v>
      </c>
      <c r="I20" s="93">
        <f>G20+H20</f>
        <v>85.65</v>
      </c>
      <c r="J20" s="293">
        <f t="shared" si="4"/>
        <v>7.5</v>
      </c>
      <c r="L20" s="7"/>
    </row>
    <row r="21" spans="2:17" ht="15.95" customHeight="1" x14ac:dyDescent="0.25">
      <c r="B21" s="94" t="s">
        <v>124</v>
      </c>
      <c r="C21" s="94"/>
      <c r="E21" s="91">
        <f t="shared" ref="E21:J21" si="5">SUM(E15:E20)</f>
        <v>11.228999999999999</v>
      </c>
      <c r="F21" s="91">
        <f t="shared" si="5"/>
        <v>22.233419999999999</v>
      </c>
      <c r="G21" s="91">
        <f t="shared" si="5"/>
        <v>325.32049499999999</v>
      </c>
      <c r="H21" s="91">
        <f t="shared" si="5"/>
        <v>108.96672</v>
      </c>
      <c r="I21" s="91">
        <f t="shared" si="5"/>
        <v>434.28721499999995</v>
      </c>
      <c r="J21" s="91">
        <f t="shared" si="5"/>
        <v>45.32538000000001</v>
      </c>
    </row>
    <row r="22" spans="2:17" ht="15.95" customHeight="1" x14ac:dyDescent="0.25">
      <c r="B22" s="94"/>
      <c r="C22" s="94"/>
      <c r="E22" s="91"/>
      <c r="F22" s="91"/>
      <c r="G22" s="91"/>
      <c r="H22" s="91"/>
      <c r="I22" s="91" t="s">
        <v>224</v>
      </c>
      <c r="J22" s="79">
        <f>E21*$M$16+F21*$M$17+J21</f>
        <v>325.32049499999994</v>
      </c>
    </row>
    <row r="23" spans="2:17" ht="15.95" customHeight="1" x14ac:dyDescent="0.25">
      <c r="B23" s="78" t="s">
        <v>128</v>
      </c>
    </row>
    <row r="24" spans="2:17" ht="15.95" customHeight="1" x14ac:dyDescent="0.25">
      <c r="B24" s="95" t="s">
        <v>104</v>
      </c>
      <c r="C24" s="95" t="s">
        <v>2</v>
      </c>
      <c r="D24" s="96" t="s">
        <v>2</v>
      </c>
      <c r="E24" s="96" t="s">
        <v>42</v>
      </c>
      <c r="F24" s="96" t="s">
        <v>105</v>
      </c>
      <c r="G24" s="97" t="s">
        <v>106</v>
      </c>
      <c r="H24" s="97" t="s">
        <v>107</v>
      </c>
      <c r="I24" s="97" t="s">
        <v>108</v>
      </c>
      <c r="J24" s="97" t="s">
        <v>223</v>
      </c>
    </row>
    <row r="25" spans="2:17" ht="15.95" customHeight="1" x14ac:dyDescent="0.25">
      <c r="D25" s="77" t="s">
        <v>114</v>
      </c>
      <c r="E25" s="94" t="s">
        <v>112</v>
      </c>
      <c r="F25" s="94" t="s">
        <v>115</v>
      </c>
      <c r="G25" s="94" t="s">
        <v>74</v>
      </c>
      <c r="H25" s="94" t="s">
        <v>74</v>
      </c>
      <c r="I25" s="94" t="s">
        <v>116</v>
      </c>
      <c r="J25" s="149" t="s">
        <v>116</v>
      </c>
    </row>
    <row r="26" spans="2:17" ht="15.95" customHeight="1" x14ac:dyDescent="0.25">
      <c r="B26" s="79" t="str">
        <f>$L$5</f>
        <v>Airblast sprayer, 100 gallon; 45 HP MFWD</v>
      </c>
      <c r="C26" s="79" t="s">
        <v>53</v>
      </c>
      <c r="D26" s="87">
        <v>6</v>
      </c>
      <c r="E26" s="91">
        <f>D26*$Q$5</f>
        <v>3.3000000000000003</v>
      </c>
      <c r="F26" s="91">
        <f>$M$4*$Q$5*D26</f>
        <v>6.5339999999999998</v>
      </c>
      <c r="G26" s="91">
        <f>(E26*$M$16)+(F26*$M$17)+($P$4+$P$5)*$Q$5*D26</f>
        <v>95.617500000000007</v>
      </c>
      <c r="H26" s="91">
        <f>($N$4+$O$4)*$Q$5*D26</f>
        <v>11.022</v>
      </c>
      <c r="I26" s="91">
        <f>G26+H26</f>
        <v>106.63950000000001</v>
      </c>
      <c r="J26" s="292">
        <f>($P$4+P5)*D26*Q5</f>
        <v>13.332000000000003</v>
      </c>
      <c r="K26" s="94"/>
    </row>
    <row r="27" spans="2:17" ht="15.95" customHeight="1" x14ac:dyDescent="0.25">
      <c r="B27" s="79" t="str">
        <f>$L$6</f>
        <v>Weed sprayer - pull-type; 45 HP MFWD</v>
      </c>
      <c r="C27" s="79" t="s">
        <v>53</v>
      </c>
      <c r="D27" s="87">
        <v>3</v>
      </c>
      <c r="E27" s="91">
        <f>D27*$Q$6</f>
        <v>0.78600000000000003</v>
      </c>
      <c r="F27" s="91">
        <f>$M$4*$Q$6*D27</f>
        <v>1.5562800000000001</v>
      </c>
      <c r="G27" s="91">
        <f>(E27*$M$16)+(F27*$M$17)+($P$4+$P$6)*$Q$6*D27</f>
        <v>21.752549999999999</v>
      </c>
      <c r="H27" s="91">
        <f>($N$4+O$4+N$6+O$6)*$Q$6*D27</f>
        <v>10.273020000000001</v>
      </c>
      <c r="I27" s="91">
        <f t="shared" ref="I27:I28" si="6">G27+H27</f>
        <v>32.025570000000002</v>
      </c>
      <c r="J27" s="292">
        <f t="shared" ref="J27:J31" si="7">($P$4+P6)*D27*Q6</f>
        <v>2.1536400000000002</v>
      </c>
      <c r="K27" s="94"/>
    </row>
    <row r="28" spans="2:17" ht="15.95" customHeight="1" x14ac:dyDescent="0.25">
      <c r="B28" s="79" t="str">
        <f>$L$7</f>
        <v>Spreader - double spinner; 45 HP MFWD</v>
      </c>
      <c r="C28" s="79" t="s">
        <v>53</v>
      </c>
      <c r="D28" s="87">
        <v>0</v>
      </c>
      <c r="E28" s="91">
        <f>D28*$Q$7</f>
        <v>0</v>
      </c>
      <c r="F28" s="91">
        <f>$M$4*$Q$7*D28</f>
        <v>0</v>
      </c>
      <c r="G28" s="91">
        <f>(E28*$M$16)+(F28*$M$17)+($P$4+$P$7)*$Q$7*D28</f>
        <v>0</v>
      </c>
      <c r="H28" s="91">
        <f>($N$4+$O$4+$N$7+$O$7)*$Q$7*D28</f>
        <v>0</v>
      </c>
      <c r="I28" s="91">
        <f t="shared" si="6"/>
        <v>0</v>
      </c>
      <c r="J28" s="292">
        <f t="shared" si="7"/>
        <v>0</v>
      </c>
      <c r="K28" s="94"/>
    </row>
    <row r="29" spans="2:17" ht="15" customHeight="1" x14ac:dyDescent="0.25">
      <c r="B29" s="79" t="str">
        <f>$L$8</f>
        <v>Finish mower, 8 ft.; 45 HP MFWD</v>
      </c>
      <c r="C29" s="79" t="s">
        <v>53</v>
      </c>
      <c r="D29" s="87">
        <v>11</v>
      </c>
      <c r="E29" s="91">
        <f>D29*Q8</f>
        <v>8.25</v>
      </c>
      <c r="F29" s="91">
        <f>$M$4*Q8*D29</f>
        <v>16.334999999999997</v>
      </c>
      <c r="G29" s="91">
        <f>(E29*$M$16)+(F29*$M$17)+($P$4+$P$8)*$Q$8*D29</f>
        <v>245.89125000000001</v>
      </c>
      <c r="H29" s="91">
        <f>($N$4+$O$4+N8+O8)*Q8*D29</f>
        <v>103.61999999999998</v>
      </c>
      <c r="I29" s="91">
        <f>G29+H29</f>
        <v>349.51125000000002</v>
      </c>
      <c r="J29" s="292">
        <f t="shared" si="7"/>
        <v>40.177500000000002</v>
      </c>
      <c r="K29" s="94"/>
    </row>
    <row r="30" spans="2:17" ht="15.95" customHeight="1" x14ac:dyDescent="0.25">
      <c r="B30" s="79" t="s">
        <v>213</v>
      </c>
      <c r="C30" s="79" t="s">
        <v>53</v>
      </c>
      <c r="D30" s="87">
        <v>0</v>
      </c>
      <c r="E30" s="91">
        <f>D30*Q9</f>
        <v>0</v>
      </c>
      <c r="F30" s="91">
        <f>$M$4*Q9*D30</f>
        <v>0</v>
      </c>
      <c r="G30" s="91">
        <f>(E30*$M$16)+(F30*$M$17)+($P$4+$P$9)*$Q$9*D30</f>
        <v>0</v>
      </c>
      <c r="H30" s="91">
        <f>($N$4+$O$4+N9+O9)*Q9*D30</f>
        <v>0</v>
      </c>
      <c r="I30" s="91">
        <f>G30+H30</f>
        <v>0</v>
      </c>
      <c r="J30" s="292">
        <f t="shared" si="7"/>
        <v>0</v>
      </c>
    </row>
    <row r="31" spans="2:17" ht="15.95" customHeight="1" x14ac:dyDescent="0.25">
      <c r="B31" s="78" t="str">
        <f>L10</f>
        <v>Mulch wagon, side delivery, 45 HP MFWD</v>
      </c>
      <c r="C31" s="78" t="s">
        <v>53</v>
      </c>
      <c r="D31" s="279">
        <v>2</v>
      </c>
      <c r="E31" s="93">
        <f>D31*Q10</f>
        <v>1</v>
      </c>
      <c r="F31" s="93">
        <f>$M$4*Q10*D31</f>
        <v>1.98</v>
      </c>
      <c r="G31" s="93">
        <f>(E31*$M$16)+(F31*$M$17)+($P$4+$P$10)*$Q$10*D31</f>
        <v>28.684999999999999</v>
      </c>
      <c r="H31" s="93">
        <f>($N$4+$O$4+N10+O10)*Q10*D31</f>
        <v>14.14</v>
      </c>
      <c r="I31" s="93">
        <f t="shared" ref="I31" si="8">G31+H31</f>
        <v>42.825000000000003</v>
      </c>
      <c r="J31" s="293">
        <f t="shared" si="7"/>
        <v>3.75</v>
      </c>
    </row>
    <row r="32" spans="2:17" ht="15.95" customHeight="1" x14ac:dyDescent="0.25">
      <c r="B32" s="94" t="s">
        <v>124</v>
      </c>
      <c r="C32" s="94"/>
      <c r="E32" s="91">
        <f t="shared" ref="E32:J32" si="9">SUM(E26:E31)</f>
        <v>13.336</v>
      </c>
      <c r="F32" s="91">
        <f t="shared" si="9"/>
        <v>26.405279999999998</v>
      </c>
      <c r="G32" s="295">
        <f t="shared" si="9"/>
        <v>391.94630000000001</v>
      </c>
      <c r="H32" s="91">
        <f t="shared" si="9"/>
        <v>139.05501999999996</v>
      </c>
      <c r="I32" s="91">
        <f t="shared" si="9"/>
        <v>531.00132000000008</v>
      </c>
      <c r="J32" s="91">
        <f t="shared" si="9"/>
        <v>59.413140000000006</v>
      </c>
    </row>
    <row r="33" spans="2:22" ht="15.95" customHeight="1" x14ac:dyDescent="0.25">
      <c r="B33" s="94"/>
      <c r="C33" s="94"/>
      <c r="E33" s="91"/>
      <c r="F33" s="91"/>
      <c r="G33" s="91"/>
      <c r="H33" s="91"/>
      <c r="I33" s="91" t="s">
        <v>224</v>
      </c>
      <c r="J33" s="294">
        <f>E32*$M$16+F32*$M$17+J32</f>
        <v>391.94630000000001</v>
      </c>
    </row>
    <row r="34" spans="2:22" ht="15.95" customHeight="1" x14ac:dyDescent="0.25">
      <c r="B34" s="78" t="s">
        <v>129</v>
      </c>
      <c r="U34" s="90">
        <v>0.02</v>
      </c>
      <c r="V34" s="141" t="e">
        <f>IF(#REF!&gt;0,((#REF!+#REF!*#REF!)/2)*U34,"")</f>
        <v>#REF!</v>
      </c>
    </row>
    <row r="35" spans="2:22" ht="15.95" customHeight="1" x14ac:dyDescent="0.25">
      <c r="B35" s="95" t="s">
        <v>104</v>
      </c>
      <c r="C35" s="95" t="s">
        <v>2</v>
      </c>
      <c r="D35" s="96" t="s">
        <v>2</v>
      </c>
      <c r="E35" s="96" t="s">
        <v>42</v>
      </c>
      <c r="F35" s="96" t="s">
        <v>105</v>
      </c>
      <c r="G35" s="97" t="s">
        <v>106</v>
      </c>
      <c r="H35" s="97" t="s">
        <v>107</v>
      </c>
      <c r="I35" s="97" t="s">
        <v>108</v>
      </c>
      <c r="J35" s="97" t="s">
        <v>223</v>
      </c>
    </row>
    <row r="36" spans="2:22" ht="15.95" customHeight="1" x14ac:dyDescent="0.25">
      <c r="D36" s="77" t="s">
        <v>114</v>
      </c>
      <c r="E36" s="94" t="s">
        <v>112</v>
      </c>
      <c r="F36" s="94" t="s">
        <v>115</v>
      </c>
      <c r="G36" s="94" t="s">
        <v>74</v>
      </c>
      <c r="H36" s="94" t="s">
        <v>74</v>
      </c>
      <c r="I36" s="94" t="s">
        <v>116</v>
      </c>
      <c r="J36" s="149" t="s">
        <v>116</v>
      </c>
    </row>
    <row r="37" spans="2:22" ht="15.95" customHeight="1" x14ac:dyDescent="0.25">
      <c r="B37" s="79" t="str">
        <f>$L$5</f>
        <v>Airblast sprayer, 100 gallon; 45 HP MFWD</v>
      </c>
      <c r="C37" s="79" t="s">
        <v>53</v>
      </c>
      <c r="D37" s="87">
        <v>12</v>
      </c>
      <c r="E37" s="91">
        <f>D37*$Q$5</f>
        <v>6.6000000000000005</v>
      </c>
      <c r="F37" s="91">
        <f>$M$4*$Q$5*D37</f>
        <v>13.068</v>
      </c>
      <c r="G37" s="91">
        <f t="shared" ref="G37:G42" si="10">(E37*$M$16)+(F37*$M$17)+($P$4+P5)*Q5*D37</f>
        <v>191.23500000000001</v>
      </c>
      <c r="H37" s="91">
        <f>($N$4+$O$4+N47+O47)*$Q$5*D37</f>
        <v>22.044</v>
      </c>
      <c r="I37" s="91">
        <f>G37+H37</f>
        <v>213.27900000000002</v>
      </c>
      <c r="J37" s="292">
        <f>($P$4+P5)*D37*Q5</f>
        <v>26.664000000000005</v>
      </c>
    </row>
    <row r="38" spans="2:22" ht="15.95" customHeight="1" x14ac:dyDescent="0.25">
      <c r="B38" s="79" t="str">
        <f>$L$6</f>
        <v>Weed sprayer - pull-type; 45 HP MFWD</v>
      </c>
      <c r="C38" s="79" t="s">
        <v>53</v>
      </c>
      <c r="D38" s="87">
        <v>3</v>
      </c>
      <c r="E38" s="91">
        <f>D38*$Q$6</f>
        <v>0.78600000000000003</v>
      </c>
      <c r="F38" s="91">
        <f>$M$4*$Q$6*D38</f>
        <v>1.5562800000000001</v>
      </c>
      <c r="G38" s="91">
        <f t="shared" si="10"/>
        <v>21.752549999999999</v>
      </c>
      <c r="H38" s="91">
        <f>($N$4+O$4+N$6+O$6)*$Q$6*D38</f>
        <v>10.273020000000001</v>
      </c>
      <c r="I38" s="91">
        <f t="shared" ref="I38:I39" si="11">G38+H38</f>
        <v>32.025570000000002</v>
      </c>
      <c r="J38" s="292">
        <f t="shared" ref="J38:J42" si="12">($P$4+P6)*D38*Q6</f>
        <v>2.1536400000000002</v>
      </c>
    </row>
    <row r="39" spans="2:22" ht="15.95" customHeight="1" x14ac:dyDescent="0.25">
      <c r="B39" s="79" t="str">
        <f>$L$7</f>
        <v>Spreader - double spinner; 45 HP MFWD</v>
      </c>
      <c r="C39" s="79" t="s">
        <v>53</v>
      </c>
      <c r="D39" s="87">
        <v>0</v>
      </c>
      <c r="E39" s="91">
        <f>D39*$Q$7</f>
        <v>0</v>
      </c>
      <c r="F39" s="91">
        <f>$M$4*$Q$7*D39</f>
        <v>0</v>
      </c>
      <c r="G39" s="91">
        <f t="shared" si="10"/>
        <v>0</v>
      </c>
      <c r="H39" s="91">
        <f>($N$4+$O$4+$N$7+$O$7)*$Q$7*D39</f>
        <v>0</v>
      </c>
      <c r="I39" s="91">
        <f t="shared" si="11"/>
        <v>0</v>
      </c>
      <c r="J39" s="292">
        <f t="shared" si="12"/>
        <v>0</v>
      </c>
    </row>
    <row r="40" spans="2:22" ht="15.95" customHeight="1" x14ac:dyDescent="0.25">
      <c r="B40" s="79" t="str">
        <f>$L$8</f>
        <v>Finish mower, 8 ft.; 45 HP MFWD</v>
      </c>
      <c r="C40" s="79" t="s">
        <v>53</v>
      </c>
      <c r="D40" s="87">
        <v>16</v>
      </c>
      <c r="E40" s="91">
        <f>D40*Q8</f>
        <v>12</v>
      </c>
      <c r="F40" s="91">
        <f>$M$4*$Q$8*D40</f>
        <v>23.759999999999998</v>
      </c>
      <c r="G40" s="91">
        <f t="shared" si="10"/>
        <v>357.66</v>
      </c>
      <c r="H40" s="91">
        <f>($N$4+$O$4+N8+O8)*Q8*D40</f>
        <v>150.71999999999997</v>
      </c>
      <c r="I40" s="91">
        <f>G40+H40</f>
        <v>508.38</v>
      </c>
      <c r="J40" s="292">
        <f t="shared" si="12"/>
        <v>58.44</v>
      </c>
    </row>
    <row r="41" spans="2:22" ht="15.95" customHeight="1" x14ac:dyDescent="0.25">
      <c r="B41" s="79" t="s">
        <v>213</v>
      </c>
      <c r="C41" s="79" t="s">
        <v>53</v>
      </c>
      <c r="D41" s="87">
        <v>0</v>
      </c>
      <c r="E41" s="91">
        <f>D41*Q9</f>
        <v>0</v>
      </c>
      <c r="F41" s="91">
        <v>0.81</v>
      </c>
      <c r="G41" s="91">
        <f t="shared" si="10"/>
        <v>2.6325000000000003</v>
      </c>
      <c r="H41" s="91">
        <f>($N$4+$O$4+N9+O9)*Q9*D41</f>
        <v>0</v>
      </c>
      <c r="I41" s="91">
        <f>G41+H41</f>
        <v>2.6325000000000003</v>
      </c>
      <c r="J41" s="292">
        <f t="shared" si="12"/>
        <v>0</v>
      </c>
    </row>
    <row r="42" spans="2:22" ht="15.95" customHeight="1" x14ac:dyDescent="0.25">
      <c r="B42" s="78" t="str">
        <f>L10</f>
        <v>Mulch wagon, side delivery, 45 HP MFWD</v>
      </c>
      <c r="C42" s="78" t="s">
        <v>53</v>
      </c>
      <c r="D42" s="279">
        <v>2</v>
      </c>
      <c r="E42" s="93">
        <f>D42*Q10</f>
        <v>1</v>
      </c>
      <c r="F42" s="93">
        <v>0.63</v>
      </c>
      <c r="G42" s="93">
        <f t="shared" si="10"/>
        <v>24.297499999999999</v>
      </c>
      <c r="H42" s="93">
        <f>($N$4+$O$4+N10+O10)*Q10*D42</f>
        <v>14.14</v>
      </c>
      <c r="I42" s="93">
        <f t="shared" ref="I42" si="13">G42+H42</f>
        <v>38.4375</v>
      </c>
      <c r="J42" s="293">
        <f t="shared" si="12"/>
        <v>3.75</v>
      </c>
    </row>
    <row r="43" spans="2:22" ht="16.5" customHeight="1" x14ac:dyDescent="0.25">
      <c r="B43" s="94" t="s">
        <v>124</v>
      </c>
      <c r="C43" s="94"/>
      <c r="E43" s="91">
        <f t="shared" ref="E43:J43" si="14">SUM(E37:E42)</f>
        <v>20.386000000000003</v>
      </c>
      <c r="F43" s="91">
        <f t="shared" si="14"/>
        <v>39.824280000000002</v>
      </c>
      <c r="G43" s="91">
        <f t="shared" si="14"/>
        <v>597.57755000000009</v>
      </c>
      <c r="H43" s="91">
        <f t="shared" si="14"/>
        <v>197.17701999999997</v>
      </c>
      <c r="I43" s="91">
        <f t="shared" si="14"/>
        <v>794.75457000000006</v>
      </c>
      <c r="J43" s="91">
        <f t="shared" si="14"/>
        <v>91.007640000000009</v>
      </c>
    </row>
    <row r="44" spans="2:22" ht="15.95" customHeight="1" x14ac:dyDescent="0.25">
      <c r="B44" s="94"/>
      <c r="C44" s="94"/>
      <c r="E44" s="91"/>
      <c r="F44" s="91"/>
      <c r="G44" s="91"/>
      <c r="H44" s="91"/>
      <c r="I44" s="91" t="s">
        <v>225</v>
      </c>
      <c r="J44" s="294">
        <f>E43*$M$16+F43*$M$17+J43</f>
        <v>597.57755000000009</v>
      </c>
    </row>
    <row r="45" spans="2:22" ht="15.95" customHeight="1" x14ac:dyDescent="0.25">
      <c r="B45" s="76" t="s">
        <v>130</v>
      </c>
      <c r="C45" s="94"/>
      <c r="E45" s="91"/>
      <c r="F45" s="91"/>
      <c r="G45" s="91"/>
      <c r="H45" s="91"/>
      <c r="I45" s="91"/>
    </row>
    <row r="46" spans="2:22" ht="15.95" customHeight="1" x14ac:dyDescent="0.25"/>
    <row r="47" spans="2:22" ht="15.95" hidden="1" customHeight="1" x14ac:dyDescent="0.25">
      <c r="B47" s="76" t="s">
        <v>131</v>
      </c>
    </row>
    <row r="48" spans="2:22" ht="15.95" hidden="1" customHeight="1" x14ac:dyDescent="0.25">
      <c r="B48" s="76" t="s">
        <v>132</v>
      </c>
    </row>
    <row r="49" spans="2:2" ht="15.95" hidden="1" customHeight="1" x14ac:dyDescent="0.25">
      <c r="B49" s="76"/>
    </row>
    <row r="50" spans="2:2" ht="15.95" hidden="1" customHeight="1" x14ac:dyDescent="0.25"/>
    <row r="51" spans="2:2" ht="15.95" hidden="1" customHeight="1" x14ac:dyDescent="0.25"/>
    <row r="52" spans="2:2" ht="15.95" hidden="1" customHeight="1" x14ac:dyDescent="0.25"/>
    <row r="53" spans="2:2" ht="15.95" hidden="1" customHeight="1" x14ac:dyDescent="0.25"/>
    <row r="54" spans="2:2" ht="15.95" hidden="1" customHeight="1" x14ac:dyDescent="0.25"/>
    <row r="55" spans="2:2" ht="15.95" hidden="1" customHeight="1" x14ac:dyDescent="0.25"/>
    <row r="56" spans="2:2" ht="15.95" hidden="1" customHeight="1" x14ac:dyDescent="0.25"/>
    <row r="57" spans="2:2" ht="15" hidden="1" customHeight="1" x14ac:dyDescent="0.25"/>
    <row r="58" spans="2:2" ht="15.95" hidden="1" customHeight="1" x14ac:dyDescent="0.25"/>
    <row r="59" spans="2:2" ht="15.95" hidden="1" customHeight="1" x14ac:dyDescent="0.25"/>
    <row r="60" spans="2:2" ht="15.95" hidden="1" customHeight="1" x14ac:dyDescent="0.25"/>
    <row r="61" spans="2:2" ht="15.95" hidden="1" customHeight="1" x14ac:dyDescent="0.25"/>
    <row r="62" spans="2:2" ht="15.95" hidden="1" customHeight="1" x14ac:dyDescent="0.25"/>
    <row r="63" spans="2:2" ht="15.95" hidden="1" customHeight="1" x14ac:dyDescent="0.25"/>
    <row r="64" spans="2:2" ht="15.95" hidden="1" customHeight="1" x14ac:dyDescent="0.25"/>
    <row r="65" ht="15.95" hidden="1" customHeight="1" x14ac:dyDescent="0.25"/>
    <row r="66" ht="15.95" hidden="1" customHeight="1" x14ac:dyDescent="0.25"/>
    <row r="67" ht="15.95" hidden="1" customHeight="1" x14ac:dyDescent="0.25"/>
    <row r="68" ht="15.95" hidden="1" customHeight="1" x14ac:dyDescent="0.25"/>
    <row r="69" ht="15.95" hidden="1" customHeight="1" x14ac:dyDescent="0.25"/>
    <row r="70" ht="15.95" hidden="1" customHeight="1" x14ac:dyDescent="0.25"/>
    <row r="71" ht="33" hidden="1" customHeight="1" x14ac:dyDescent="0.25"/>
    <row r="72" ht="15.95" hidden="1" customHeight="1" x14ac:dyDescent="0.25"/>
    <row r="73" ht="15.95" hidden="1" customHeight="1" x14ac:dyDescent="0.25"/>
    <row r="74" ht="15.95" hidden="1" customHeight="1" x14ac:dyDescent="0.25"/>
    <row r="75" ht="15.95" hidden="1" customHeight="1" x14ac:dyDescent="0.25"/>
    <row r="76" ht="15.95" hidden="1" customHeight="1" x14ac:dyDescent="0.25"/>
    <row r="77" ht="15.95" hidden="1" customHeight="1" x14ac:dyDescent="0.25"/>
    <row r="78" ht="15.95" hidden="1" customHeight="1" x14ac:dyDescent="0.25"/>
    <row r="79" ht="15.95" hidden="1" customHeight="1" x14ac:dyDescent="0.25"/>
    <row r="80" ht="15.95" hidden="1" customHeight="1" x14ac:dyDescent="0.25"/>
    <row r="81" ht="15.95" hidden="1" customHeight="1" x14ac:dyDescent="0.25"/>
    <row r="82" ht="15.95" hidden="1" customHeight="1" x14ac:dyDescent="0.25"/>
    <row r="83" ht="15.95" hidden="1" customHeight="1" x14ac:dyDescent="0.25"/>
    <row r="84" ht="15.95" hidden="1" customHeight="1" x14ac:dyDescent="0.25"/>
    <row r="85" ht="33" hidden="1" customHeight="1" x14ac:dyDescent="0.25"/>
    <row r="86" ht="15.95" hidden="1" customHeight="1" x14ac:dyDescent="0.25"/>
    <row r="87" ht="15.95" hidden="1" customHeight="1" x14ac:dyDescent="0.25"/>
    <row r="88" ht="15.95" hidden="1" customHeight="1" x14ac:dyDescent="0.25"/>
    <row r="89" ht="15.95" hidden="1" customHeight="1" x14ac:dyDescent="0.25"/>
    <row r="90" ht="17.45" hidden="1" customHeight="1" x14ac:dyDescent="0.25"/>
    <row r="91" ht="15.95" hidden="1" customHeight="1" x14ac:dyDescent="0.25"/>
    <row r="92" ht="15.95" hidden="1" customHeight="1" x14ac:dyDescent="0.25"/>
    <row r="93" ht="15.95" hidden="1" customHeight="1" x14ac:dyDescent="0.25"/>
    <row r="94" ht="15.95" hidden="1" customHeight="1" x14ac:dyDescent="0.25"/>
    <row r="95" ht="15.95" hidden="1" customHeight="1" x14ac:dyDescent="0.25"/>
    <row r="96" ht="15.95" hidden="1" customHeight="1" x14ac:dyDescent="0.25"/>
    <row r="97" ht="15.95" hidden="1" customHeight="1" x14ac:dyDescent="0.25"/>
    <row r="98" ht="15.95" hidden="1" customHeight="1" x14ac:dyDescent="0.25"/>
    <row r="99" ht="15.95" hidden="1" customHeight="1" x14ac:dyDescent="0.25"/>
    <row r="100" ht="15.95" hidden="1" customHeight="1" x14ac:dyDescent="0.25"/>
    <row r="101" ht="15.95" hidden="1" customHeight="1" x14ac:dyDescent="0.25"/>
  </sheetData>
  <sheetProtection sheet="1" objects="1" scenarios="1"/>
  <pageMargins left="0.7" right="0.7" top="0.75" bottom="0.75" header="0.3" footer="0.3"/>
  <pageSetup scale="6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956B1-0FC2-4523-B325-353A1E671E1C}">
  <dimension ref="A1:I37"/>
  <sheetViews>
    <sheetView workbookViewId="0">
      <selection activeCell="F26" sqref="F26"/>
    </sheetView>
  </sheetViews>
  <sheetFormatPr defaultColWidth="0" defaultRowHeight="15" zeroHeight="1" x14ac:dyDescent="0.25"/>
  <cols>
    <col min="1" max="1" width="35.375" customWidth="1"/>
    <col min="2" max="5" width="8.625" customWidth="1"/>
    <col min="6" max="6" width="24.125" bestFit="1" customWidth="1"/>
    <col min="7" max="9" width="8.625" customWidth="1"/>
    <col min="10" max="16384" width="8.625" hidden="1"/>
  </cols>
  <sheetData>
    <row r="1" spans="1:8" x14ac:dyDescent="0.25">
      <c r="A1" s="346" t="s">
        <v>239</v>
      </c>
      <c r="B1" s="346"/>
      <c r="C1" s="346"/>
      <c r="D1" s="346"/>
    </row>
    <row r="2" spans="1:8" x14ac:dyDescent="0.25">
      <c r="A2" s="346"/>
      <c r="B2" s="346"/>
      <c r="C2" s="346"/>
      <c r="D2" s="346"/>
    </row>
    <row r="3" spans="1:8" ht="15.75" x14ac:dyDescent="0.25">
      <c r="A3" s="44" t="s">
        <v>258</v>
      </c>
      <c r="B3" s="44"/>
      <c r="C3" s="44"/>
      <c r="D3" s="44"/>
    </row>
    <row r="4" spans="1:8" x14ac:dyDescent="0.25">
      <c r="B4" s="315" t="s">
        <v>185</v>
      </c>
      <c r="C4" s="315" t="s">
        <v>186</v>
      </c>
      <c r="D4" s="315" t="s">
        <v>187</v>
      </c>
    </row>
    <row r="5" spans="1:8" x14ac:dyDescent="0.25">
      <c r="A5" s="15" t="s">
        <v>231</v>
      </c>
      <c r="B5" s="317">
        <f>'Financial Sensitivity'!N13*'Financial Sensitivity'!R3</f>
        <v>1834.8610000000001</v>
      </c>
      <c r="C5" s="317">
        <f>'Financial Sensitivity'!N15*'Financial Sensitivity'!R3</f>
        <v>5237.9249999999993</v>
      </c>
      <c r="D5" s="317">
        <f>'Financial Sensitivity'!N17*'Financial Sensitivity'!R3</f>
        <v>6920.41</v>
      </c>
    </row>
    <row r="6" spans="1:8" x14ac:dyDescent="0.25">
      <c r="A6" t="s">
        <v>244</v>
      </c>
      <c r="B6" s="302">
        <v>4</v>
      </c>
      <c r="C6" s="302">
        <v>6</v>
      </c>
      <c r="D6" s="302">
        <v>7</v>
      </c>
    </row>
    <row r="7" spans="1:8" x14ac:dyDescent="0.25">
      <c r="A7" t="s">
        <v>245</v>
      </c>
      <c r="B7" s="318">
        <f>B5/B6</f>
        <v>458.71525000000003</v>
      </c>
      <c r="C7" s="318">
        <f>C5/C6</f>
        <v>872.98749999999984</v>
      </c>
      <c r="D7" s="318">
        <f>D5/D6</f>
        <v>988.63</v>
      </c>
    </row>
    <row r="8" spans="1:8" x14ac:dyDescent="0.25">
      <c r="A8" t="s">
        <v>255</v>
      </c>
      <c r="B8" s="323">
        <v>50</v>
      </c>
      <c r="C8" s="323">
        <v>200</v>
      </c>
      <c r="D8" s="323">
        <v>200</v>
      </c>
    </row>
    <row r="9" spans="1:8" x14ac:dyDescent="0.25">
      <c r="A9" t="s">
        <v>242</v>
      </c>
      <c r="B9" s="302">
        <v>4</v>
      </c>
      <c r="C9" s="302">
        <v>4</v>
      </c>
      <c r="D9" s="302">
        <v>5</v>
      </c>
    </row>
    <row r="10" spans="1:8" x14ac:dyDescent="0.25">
      <c r="A10" t="s">
        <v>243</v>
      </c>
      <c r="B10" s="302">
        <v>3</v>
      </c>
      <c r="C10" s="302">
        <v>3</v>
      </c>
      <c r="D10" s="302">
        <v>3.5</v>
      </c>
    </row>
    <row r="11" spans="1:8" x14ac:dyDescent="0.25">
      <c r="A11" s="14" t="s">
        <v>246</v>
      </c>
      <c r="B11" s="14">
        <f>B9*B10*B6</f>
        <v>48</v>
      </c>
      <c r="C11" s="14">
        <f t="shared" ref="C11:D11" si="0">C9*C10*C6</f>
        <v>72</v>
      </c>
      <c r="D11" s="14">
        <f t="shared" si="0"/>
        <v>122.5</v>
      </c>
    </row>
    <row r="12" spans="1:8" ht="15.75" x14ac:dyDescent="0.25">
      <c r="A12" s="325" t="s">
        <v>256</v>
      </c>
      <c r="B12" s="325"/>
      <c r="C12" s="325"/>
      <c r="D12" s="325"/>
      <c r="F12" t="s">
        <v>267</v>
      </c>
    </row>
    <row r="13" spans="1:8" ht="14.45" customHeight="1" x14ac:dyDescent="0.25">
      <c r="A13" s="15" t="s">
        <v>240</v>
      </c>
      <c r="B13" s="319">
        <v>4</v>
      </c>
      <c r="C13" s="319">
        <v>4</v>
      </c>
      <c r="D13" s="319">
        <v>4.5</v>
      </c>
      <c r="F13" t="s">
        <v>264</v>
      </c>
      <c r="G13" s="316"/>
      <c r="H13" s="316"/>
    </row>
    <row r="14" spans="1:8" x14ac:dyDescent="0.25">
      <c r="A14" t="s">
        <v>259</v>
      </c>
      <c r="B14" s="302">
        <v>0.5</v>
      </c>
      <c r="C14" s="302">
        <v>0.5</v>
      </c>
      <c r="D14" s="302">
        <v>0.4</v>
      </c>
      <c r="F14" t="s">
        <v>268</v>
      </c>
      <c r="G14" s="316"/>
      <c r="H14" s="316"/>
    </row>
    <row r="15" spans="1:8" x14ac:dyDescent="0.25">
      <c r="A15" t="s">
        <v>257</v>
      </c>
      <c r="B15">
        <f>B13*B14</f>
        <v>2</v>
      </c>
      <c r="C15">
        <f t="shared" ref="C15:D15" si="1">C13*C14</f>
        <v>2</v>
      </c>
      <c r="D15">
        <f t="shared" si="1"/>
        <v>1.8</v>
      </c>
      <c r="F15" t="s">
        <v>269</v>
      </c>
      <c r="H15" s="316"/>
    </row>
    <row r="16" spans="1:8" x14ac:dyDescent="0.25">
      <c r="A16" t="s">
        <v>236</v>
      </c>
      <c r="B16" s="318">
        <f>(B5-B8)/B13</f>
        <v>446.21525000000003</v>
      </c>
      <c r="C16" s="318">
        <f>(C5-C8)/C13</f>
        <v>1259.4812499999998</v>
      </c>
      <c r="D16" s="318">
        <f>(D5-D8)/D13</f>
        <v>1493.4244444444444</v>
      </c>
      <c r="F16" s="15" t="s">
        <v>263</v>
      </c>
      <c r="G16" s="15" t="s">
        <v>112</v>
      </c>
    </row>
    <row r="17" spans="1:7" ht="30" x14ac:dyDescent="0.25">
      <c r="A17" s="316" t="s">
        <v>241</v>
      </c>
      <c r="B17" s="326">
        <f>B15*B16</f>
        <v>892.43050000000005</v>
      </c>
      <c r="C17" s="326">
        <f t="shared" ref="C17:D17" si="2">C15*C16</f>
        <v>2518.9624999999996</v>
      </c>
      <c r="D17" s="326">
        <f t="shared" si="2"/>
        <v>2688.1639999999998</v>
      </c>
      <c r="F17" s="15" t="s">
        <v>260</v>
      </c>
      <c r="G17" s="15">
        <v>0.5</v>
      </c>
    </row>
    <row r="18" spans="1:7" x14ac:dyDescent="0.25">
      <c r="A18" t="s">
        <v>237</v>
      </c>
      <c r="B18" s="327">
        <f>B11/B15</f>
        <v>24</v>
      </c>
      <c r="C18" s="327">
        <f>C11/C15</f>
        <v>36</v>
      </c>
      <c r="D18" s="327">
        <f>D11/D15</f>
        <v>68.055555555555557</v>
      </c>
      <c r="F18" t="s">
        <v>261</v>
      </c>
      <c r="G18">
        <v>0.25</v>
      </c>
    </row>
    <row r="19" spans="1:7" x14ac:dyDescent="0.25">
      <c r="A19" t="s">
        <v>238</v>
      </c>
      <c r="B19" s="327">
        <f>B16/B18</f>
        <v>18.592302083333333</v>
      </c>
      <c r="C19" s="327">
        <f>C16/C18</f>
        <v>34.985590277777774</v>
      </c>
      <c r="D19" s="327">
        <f>D16/D18</f>
        <v>21.944195918367345</v>
      </c>
      <c r="F19" s="14" t="s">
        <v>262</v>
      </c>
      <c r="G19" s="14">
        <v>0.16666700000000001</v>
      </c>
    </row>
    <row r="20" spans="1:7" x14ac:dyDescent="0.25">
      <c r="A20" s="14" t="s">
        <v>247</v>
      </c>
      <c r="B20" s="328">
        <f>B13/B15</f>
        <v>2</v>
      </c>
      <c r="C20" s="328">
        <f>C13/C15</f>
        <v>2</v>
      </c>
      <c r="D20" s="328">
        <f>D13/D15</f>
        <v>2.5</v>
      </c>
    </row>
    <row r="21" spans="1:7" ht="15.75" x14ac:dyDescent="0.25">
      <c r="A21" s="44" t="s">
        <v>249</v>
      </c>
      <c r="B21" s="44"/>
      <c r="C21" s="44"/>
      <c r="D21" s="44"/>
    </row>
    <row r="22" spans="1:7" x14ac:dyDescent="0.25">
      <c r="A22" s="15" t="s">
        <v>248</v>
      </c>
      <c r="B22" s="319">
        <v>3</v>
      </c>
      <c r="C22" s="319">
        <v>3</v>
      </c>
      <c r="D22" s="319">
        <v>3</v>
      </c>
    </row>
    <row r="23" spans="1:7" x14ac:dyDescent="0.25">
      <c r="A23" t="s">
        <v>250</v>
      </c>
      <c r="B23" s="302">
        <v>1</v>
      </c>
      <c r="C23" s="302">
        <v>1</v>
      </c>
      <c r="D23" s="302">
        <v>1</v>
      </c>
    </row>
    <row r="24" spans="1:7" ht="30" x14ac:dyDescent="0.25">
      <c r="A24" s="316" t="s">
        <v>265</v>
      </c>
      <c r="B24" s="324">
        <v>2</v>
      </c>
      <c r="C24" s="324">
        <v>3</v>
      </c>
      <c r="D24" s="324">
        <v>4</v>
      </c>
    </row>
    <row r="25" spans="1:7" x14ac:dyDescent="0.25">
      <c r="A25" t="s">
        <v>253</v>
      </c>
      <c r="B25" s="302">
        <v>1</v>
      </c>
      <c r="C25" s="302">
        <v>1.25</v>
      </c>
      <c r="D25" s="302">
        <v>1</v>
      </c>
    </row>
    <row r="26" spans="1:7" x14ac:dyDescent="0.25">
      <c r="A26" t="s">
        <v>254</v>
      </c>
      <c r="B26">
        <f>B8/5</f>
        <v>10</v>
      </c>
      <c r="C26">
        <f>C8/5</f>
        <v>40</v>
      </c>
      <c r="D26">
        <f>D8/5</f>
        <v>40</v>
      </c>
    </row>
    <row r="27" spans="1:7" x14ac:dyDescent="0.25">
      <c r="A27" s="14" t="s">
        <v>266</v>
      </c>
      <c r="B27" s="328">
        <f>B19/B25</f>
        <v>18.592302083333333</v>
      </c>
      <c r="C27" s="328">
        <f t="shared" ref="C27:D27" si="3">C19/C25</f>
        <v>27.988472222222221</v>
      </c>
      <c r="D27" s="328">
        <f t="shared" si="3"/>
        <v>21.944195918367345</v>
      </c>
    </row>
    <row r="28" spans="1:7" x14ac:dyDescent="0.25">
      <c r="A28" s="15" t="s">
        <v>252</v>
      </c>
      <c r="B28" s="320">
        <f>(B23*B11+B6*B10)+(B24*B10*B6)+B25*B22*B11+B26*B22</f>
        <v>258</v>
      </c>
      <c r="C28" s="320">
        <f>(C23*C11+C6*C10)+(C24*C10*C6)+C25*C22*C11+C26*C22</f>
        <v>534</v>
      </c>
      <c r="D28" s="320">
        <f>(D23*D11+D6*D10)+(D24*D10*D6)+D25*D22*D11+D26*D22</f>
        <v>732.5</v>
      </c>
    </row>
    <row r="29" spans="1:7" ht="15.75" thickBot="1" x14ac:dyDescent="0.3">
      <c r="A29" s="321" t="s">
        <v>251</v>
      </c>
      <c r="B29" s="322">
        <f>(B23*B11+(B6*B10))/B22+B24*B6*B10+B25*B11+B26</f>
        <v>102</v>
      </c>
      <c r="C29" s="322">
        <f>(C23*C11+(C6*C10))/C22+C24*C6*C10+C25*C11+C26</f>
        <v>214</v>
      </c>
      <c r="D29" s="322">
        <f>(D23*D11+(D6*D10))/D22+D24*D6*D10+D25*D11+D26</f>
        <v>309.5</v>
      </c>
    </row>
    <row r="30" spans="1:7" ht="15.75" thickTop="1" x14ac:dyDescent="0.25">
      <c r="A30" t="s">
        <v>270</v>
      </c>
      <c r="B30">
        <f>AVERAGE(B29,C29)</f>
        <v>158</v>
      </c>
    </row>
    <row r="31" spans="1:7" x14ac:dyDescent="0.25"/>
    <row r="33" customFormat="1" hidden="1" x14ac:dyDescent="0.25"/>
    <row r="34" customFormat="1" hidden="1" x14ac:dyDescent="0.25"/>
    <row r="35" customFormat="1" hidden="1" x14ac:dyDescent="0.25"/>
    <row r="36" customFormat="1" hidden="1" x14ac:dyDescent="0.25"/>
    <row r="37" customFormat="1" hidden="1" x14ac:dyDescent="0.25"/>
  </sheetData>
  <sheetProtection sheet="1" objects="1" scenarios="1"/>
  <protectedRanges>
    <protectedRange sqref="B22:D25" name="Farm labor hours"/>
    <protectedRange sqref="B13:D14" name="Customer behaviors"/>
    <protectedRange sqref="B6:D6 B8:D10" name="Upick details"/>
  </protectedRanges>
  <mergeCells count="1">
    <mergeCell ref="A1:D2"/>
  </mergeCells>
  <pageMargins left="0.7" right="0.7" top="0.75" bottom="0.75" header="0.3" footer="0.3"/>
  <ignoredErrors>
    <ignoredError sqref="B16:D16"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95F7E-0FF1-4027-B3F0-598DF36CC945}">
  <sheetPr>
    <pageSetUpPr autoPageBreaks="0" fitToPage="1"/>
  </sheetPr>
  <dimension ref="A1:XFA50"/>
  <sheetViews>
    <sheetView zoomScaleNormal="100" workbookViewId="0">
      <selection activeCell="S18" sqref="S18"/>
    </sheetView>
  </sheetViews>
  <sheetFormatPr defaultColWidth="0" defaultRowHeight="15" zeroHeight="1" x14ac:dyDescent="0.25"/>
  <cols>
    <col min="1" max="1" width="3.125" style="4" customWidth="1"/>
    <col min="2" max="2" width="4.625" style="4" customWidth="1"/>
    <col min="3" max="3" width="10.125" style="4" customWidth="1"/>
    <col min="4" max="4" width="9.375" style="4" customWidth="1"/>
    <col min="5" max="5" width="12.5" style="4" bestFit="1" customWidth="1"/>
    <col min="6" max="6" width="9.625" style="4" bestFit="1" customWidth="1"/>
    <col min="7" max="7" width="8.875" style="4" bestFit="1" customWidth="1"/>
    <col min="8" max="8" width="9.875" style="4" customWidth="1"/>
    <col min="9" max="9" width="11" style="4" customWidth="1"/>
    <col min="10" max="10" width="9.875" style="4" bestFit="1" customWidth="1"/>
    <col min="11" max="11" width="10.125" style="4" customWidth="1"/>
    <col min="12" max="12" width="6" style="4" customWidth="1"/>
    <col min="13" max="13" width="8.625" style="4" customWidth="1"/>
    <col min="14" max="14" width="10" style="4" customWidth="1"/>
    <col min="15" max="15" width="8.625" style="4" customWidth="1"/>
    <col min="16" max="16" width="13.625" style="4" customWidth="1"/>
    <col min="17" max="17" width="14.125" style="4" customWidth="1"/>
    <col min="18" max="18" width="11.625" style="4" customWidth="1"/>
    <col min="19" max="19" width="3.375" customWidth="1"/>
    <col min="20" max="20" width="8.625" hidden="1" customWidth="1"/>
    <col min="21" max="16381" width="8.625" hidden="1"/>
    <col min="16382" max="16384" width="3.5" hidden="1"/>
  </cols>
  <sheetData>
    <row r="1" spans="1:40" ht="21" customHeight="1" x14ac:dyDescent="0.25">
      <c r="B1" s="355" t="s">
        <v>61</v>
      </c>
      <c r="C1" s="355"/>
      <c r="D1" s="355"/>
      <c r="E1" s="355"/>
      <c r="F1" s="355"/>
      <c r="G1" s="355"/>
      <c r="H1" s="355"/>
      <c r="I1" s="355"/>
      <c r="J1" s="355"/>
      <c r="K1" s="355"/>
    </row>
    <row r="2" spans="1:40" ht="33.950000000000003" customHeight="1" thickBot="1" x14ac:dyDescent="0.35">
      <c r="B2" s="356" t="s">
        <v>60</v>
      </c>
      <c r="C2" s="356"/>
      <c r="D2" s="356"/>
      <c r="E2" s="356"/>
      <c r="F2" s="356"/>
      <c r="G2" s="356"/>
      <c r="H2" s="356"/>
      <c r="I2" s="356"/>
      <c r="J2" s="356"/>
      <c r="K2" s="356"/>
      <c r="M2" s="347" t="s">
        <v>208</v>
      </c>
      <c r="N2" s="347"/>
      <c r="O2" s="347"/>
      <c r="P2" s="347"/>
      <c r="Q2" s="347"/>
      <c r="R2" s="347"/>
      <c r="S2" s="4"/>
    </row>
    <row r="3" spans="1:40" s="15" customFormat="1" ht="34.5" customHeight="1" x14ac:dyDescent="0.3">
      <c r="A3" s="4"/>
      <c r="B3" s="161"/>
      <c r="C3" s="172"/>
      <c r="D3" s="173"/>
      <c r="E3" s="357" t="s">
        <v>189</v>
      </c>
      <c r="F3" s="357"/>
      <c r="G3" s="357"/>
      <c r="H3" s="357"/>
      <c r="I3" s="357"/>
      <c r="J3" s="357"/>
      <c r="K3" s="358"/>
      <c r="L3" s="4"/>
      <c r="M3" s="236" t="s">
        <v>202</v>
      </c>
      <c r="N3" s="237"/>
      <c r="O3" s="238"/>
      <c r="P3" s="235">
        <v>4</v>
      </c>
      <c r="Q3" s="239" t="s">
        <v>203</v>
      </c>
      <c r="R3" s="234">
        <f>ROUNDDOWN(43560/P5,0)</f>
        <v>907</v>
      </c>
      <c r="S3" s="4"/>
      <c r="T3"/>
      <c r="U3"/>
      <c r="V3"/>
      <c r="W3"/>
      <c r="X3"/>
      <c r="Y3"/>
      <c r="Z3"/>
      <c r="AA3"/>
      <c r="AB3"/>
      <c r="AC3"/>
      <c r="AD3"/>
      <c r="AE3"/>
      <c r="AF3"/>
      <c r="AG3"/>
      <c r="AH3"/>
      <c r="AI3"/>
    </row>
    <row r="4" spans="1:40" ht="16.5" customHeight="1" x14ac:dyDescent="0.25">
      <c r="B4" s="174"/>
      <c r="C4" s="175"/>
      <c r="D4" s="73"/>
      <c r="E4" s="176" t="s">
        <v>32</v>
      </c>
      <c r="F4" s="176" t="s">
        <v>31</v>
      </c>
      <c r="G4" s="176" t="s">
        <v>27</v>
      </c>
      <c r="H4" s="176" t="s">
        <v>25</v>
      </c>
      <c r="I4" s="176" t="s">
        <v>23</v>
      </c>
      <c r="J4" s="176" t="s">
        <v>29</v>
      </c>
      <c r="K4" s="177" t="s">
        <v>30</v>
      </c>
      <c r="M4" s="236" t="s">
        <v>200</v>
      </c>
      <c r="N4" s="237"/>
      <c r="O4" s="238"/>
      <c r="P4" s="235">
        <v>12</v>
      </c>
      <c r="Q4" s="234" t="s">
        <v>205</v>
      </c>
      <c r="R4" s="250">
        <v>0.3</v>
      </c>
      <c r="S4" s="4"/>
    </row>
    <row r="5" spans="1:40" ht="16.5" customHeight="1" x14ac:dyDescent="0.25">
      <c r="B5" s="178"/>
      <c r="C5" s="71"/>
      <c r="D5" s="72"/>
      <c r="E5" s="34">
        <f>H5*70%</f>
        <v>4825.24</v>
      </c>
      <c r="F5" s="34">
        <f>H5*80%</f>
        <v>5514.56</v>
      </c>
      <c r="G5" s="34">
        <f>H5*90%</f>
        <v>6203.88</v>
      </c>
      <c r="H5" s="221">
        <f>Budget!S5</f>
        <v>6893.2</v>
      </c>
      <c r="I5" s="34">
        <f>H5*110%</f>
        <v>7582.52</v>
      </c>
      <c r="J5" s="34">
        <f>H5*120%</f>
        <v>8271.84</v>
      </c>
      <c r="K5" s="179">
        <f>H5*130%</f>
        <v>8961.16</v>
      </c>
      <c r="M5" s="307" t="s">
        <v>201</v>
      </c>
      <c r="N5" s="308"/>
      <c r="O5" s="309"/>
      <c r="P5" s="234">
        <f>P4*P3</f>
        <v>48</v>
      </c>
      <c r="Q5" s="234" t="s">
        <v>207</v>
      </c>
      <c r="R5" s="248">
        <f>Budget!E5</f>
        <v>5.5</v>
      </c>
      <c r="S5" s="4"/>
    </row>
    <row r="6" spans="1:40" ht="16.5" customHeight="1" x14ac:dyDescent="0.25">
      <c r="B6" s="360" t="s">
        <v>54</v>
      </c>
      <c r="C6" s="35" t="s">
        <v>28</v>
      </c>
      <c r="D6" s="17">
        <f>D9*85%</f>
        <v>4.6749999999999998</v>
      </c>
      <c r="E6" s="18">
        <f>(D6*$E$5)-Budget!T55</f>
        <v>8992.039301493749</v>
      </c>
      <c r="F6" s="19">
        <f>(D6*$F$5)-Budget!$T$55</f>
        <v>12214.610301493749</v>
      </c>
      <c r="G6" s="20">
        <f>(D6*$G$5)-Budget!$T$55</f>
        <v>15437.181301493749</v>
      </c>
      <c r="H6" s="20">
        <f>(D6*$H$5)-Budget!$T$55</f>
        <v>18659.752301493747</v>
      </c>
      <c r="I6" s="20">
        <f>(D6*$I$5)-Budget!$T$55</f>
        <v>21882.32330149375</v>
      </c>
      <c r="J6" s="20">
        <f>(D6*$J$5)-Budget!$T$55</f>
        <v>25104.894301493747</v>
      </c>
      <c r="K6" s="180">
        <f>(D6*$K$5)-Budget!$T$55</f>
        <v>28327.465301493743</v>
      </c>
      <c r="M6" s="4" t="s">
        <v>206</v>
      </c>
      <c r="S6" s="4"/>
    </row>
    <row r="7" spans="1:40" ht="16.5" customHeight="1" thickBot="1" x14ac:dyDescent="0.3">
      <c r="B7" s="360"/>
      <c r="C7" s="35" t="s">
        <v>27</v>
      </c>
      <c r="D7" s="17">
        <f>D9*90%</f>
        <v>4.95</v>
      </c>
      <c r="E7" s="18">
        <f>(D7*$E$5)-Budget!$T$55</f>
        <v>10318.980301493748</v>
      </c>
      <c r="F7" s="19">
        <f>(D7*$F$5)-Budget!$T$55</f>
        <v>13731.114301493753</v>
      </c>
      <c r="G7" s="20">
        <f>(D7*$G$5)-Budget!$T$55</f>
        <v>17143.248301493753</v>
      </c>
      <c r="H7" s="20">
        <f>(D7*$H$5)-Budget!$T$55</f>
        <v>20555.382301493752</v>
      </c>
      <c r="I7" s="20">
        <f>(D7*$I$5)-Budget!$T$55</f>
        <v>23967.51630149375</v>
      </c>
      <c r="J7" s="20">
        <f>(D7*$J$5)-Budget!$T$55</f>
        <v>27379.650301493748</v>
      </c>
      <c r="K7" s="180">
        <f>(D7*$K$5)-Budget!$T$55</f>
        <v>30791.784301493746</v>
      </c>
      <c r="S7" s="4"/>
    </row>
    <row r="8" spans="1:40" ht="16.5" customHeight="1" thickBot="1" x14ac:dyDescent="0.35">
      <c r="B8" s="360"/>
      <c r="C8" s="36" t="s">
        <v>26</v>
      </c>
      <c r="D8" s="17">
        <f>D9*0.95</f>
        <v>5.2249999999999996</v>
      </c>
      <c r="E8" s="18">
        <f>(D8*$E$5)-Budget!$T$55</f>
        <v>11645.921301493747</v>
      </c>
      <c r="F8" s="19">
        <f>(D8*$F$5)-Budget!$T$55</f>
        <v>15247.618301493751</v>
      </c>
      <c r="G8" s="20">
        <f>(D8*$G$5)-Budget!$T$55</f>
        <v>18849.315301493749</v>
      </c>
      <c r="H8" s="20">
        <f>(D8*$H$5)-Budget!$T$55</f>
        <v>22451.012301493742</v>
      </c>
      <c r="I8" s="20">
        <f>(D8*$I$5)-Budget!$T$55</f>
        <v>26052.709301493749</v>
      </c>
      <c r="J8" s="20">
        <f>(D8*$J$5)-Budget!$T$55</f>
        <v>29654.406301493749</v>
      </c>
      <c r="K8" s="180">
        <f>(D8*$K$5)-Budget!$T$55</f>
        <v>33256.103301493742</v>
      </c>
      <c r="M8" s="352" t="s">
        <v>227</v>
      </c>
      <c r="N8" s="353"/>
      <c r="O8" s="353"/>
      <c r="P8" s="353"/>
      <c r="Q8" s="353"/>
      <c r="R8" s="354"/>
      <c r="S8" s="4"/>
    </row>
    <row r="9" spans="1:40" ht="34.5" customHeight="1" thickBot="1" x14ac:dyDescent="0.3">
      <c r="B9" s="360"/>
      <c r="C9" s="35" t="s">
        <v>25</v>
      </c>
      <c r="D9" s="228">
        <f>Budget!E5</f>
        <v>5.5</v>
      </c>
      <c r="E9" s="229">
        <f>(D9*$E$5)-Budget!$T$55</f>
        <v>12972.862301493749</v>
      </c>
      <c r="F9" s="230">
        <f>(D9*$F$5)-Budget!$T$55</f>
        <v>16764.12230149375</v>
      </c>
      <c r="G9" s="231">
        <f>(D9*$G$5)-Budget!$T$55</f>
        <v>20555.382301493752</v>
      </c>
      <c r="H9" s="232">
        <f>(D9*$H$5)-Budget!$T$55</f>
        <v>24346.642301493746</v>
      </c>
      <c r="I9" s="231">
        <f>(D9*$I$5)-Budget!$T$55</f>
        <v>28137.902301493748</v>
      </c>
      <c r="J9" s="231">
        <f>(D9*$J$5)-Budget!$T$55</f>
        <v>31929.16230149375</v>
      </c>
      <c r="K9" s="233">
        <f>(D9*$K$5)-Budget!$T$55</f>
        <v>35720.422301493745</v>
      </c>
      <c r="M9" s="158" t="s">
        <v>181</v>
      </c>
      <c r="N9" s="226" t="s">
        <v>199</v>
      </c>
      <c r="O9" s="159" t="s">
        <v>1</v>
      </c>
      <c r="P9" s="159" t="s">
        <v>182</v>
      </c>
      <c r="Q9" s="159" t="s">
        <v>183</v>
      </c>
      <c r="R9" s="160" t="s">
        <v>184</v>
      </c>
      <c r="S9" s="4"/>
    </row>
    <row r="10" spans="1:40" ht="16.5" customHeight="1" x14ac:dyDescent="0.25">
      <c r="B10" s="360"/>
      <c r="C10" s="35" t="s">
        <v>24</v>
      </c>
      <c r="D10" s="17">
        <f>D9*105%</f>
        <v>5.7750000000000004</v>
      </c>
      <c r="E10" s="18">
        <f>(D10*$E$5)-Budget!$T$55</f>
        <v>14299.803301493752</v>
      </c>
      <c r="F10" s="19">
        <f>(D10*$F$5)-Budget!$T$55</f>
        <v>18280.62630149375</v>
      </c>
      <c r="G10" s="20">
        <f>(D10*$G$5)-Budget!$T$55</f>
        <v>22261.449301493747</v>
      </c>
      <c r="H10" s="20">
        <f>(D10*$H$5)-Budget!$T$55</f>
        <v>26242.272301493751</v>
      </c>
      <c r="I10" s="20">
        <f>(D10*$I$5)-Budget!$T$55</f>
        <v>30223.095301493755</v>
      </c>
      <c r="J10" s="20">
        <f>(D10*$J$5)-Budget!$T$55</f>
        <v>34203.918301493752</v>
      </c>
      <c r="K10" s="180">
        <f>(D10*$K$5)-Budget!$T$55</f>
        <v>38184.741301493748</v>
      </c>
      <c r="M10" s="154">
        <v>1</v>
      </c>
      <c r="N10" s="302">
        <v>0</v>
      </c>
      <c r="O10" s="240">
        <f>Budget!H7</f>
        <v>0</v>
      </c>
      <c r="P10" s="240">
        <f>Budget!H55</f>
        <v>1770.3712427937501</v>
      </c>
      <c r="Q10" s="240">
        <f>O10-P10</f>
        <v>-1770.3712427937501</v>
      </c>
      <c r="R10" s="155">
        <f>Q10</f>
        <v>-1770.3712427937501</v>
      </c>
      <c r="S10" s="4"/>
    </row>
    <row r="11" spans="1:40" ht="16.5" customHeight="1" x14ac:dyDescent="0.25">
      <c r="B11" s="360"/>
      <c r="C11" s="35" t="s">
        <v>23</v>
      </c>
      <c r="D11" s="17">
        <f>D9*110%</f>
        <v>6.0500000000000007</v>
      </c>
      <c r="E11" s="18">
        <f>(D11*$E$5)-Budget!$T$55</f>
        <v>15626.744301493751</v>
      </c>
      <c r="F11" s="19">
        <f>(D11*$F$5)-Budget!$T$55</f>
        <v>19797.130301493751</v>
      </c>
      <c r="G11" s="20">
        <f>(D11*$G$5)-Budget!$T$55</f>
        <v>23967.51630149375</v>
      </c>
      <c r="H11" s="20">
        <f>(D11*$H$5)-Budget!$T$55</f>
        <v>28137.902301493748</v>
      </c>
      <c r="I11" s="20">
        <f>(D11*$I$5)-Budget!$T$55</f>
        <v>32308.288301493754</v>
      </c>
      <c r="J11" s="20">
        <f>(D11*$J$5)-Budget!$T$55</f>
        <v>36478.674301493753</v>
      </c>
      <c r="K11" s="180">
        <f>(D11*$K$5)-Budget!$T$55</f>
        <v>40649.060301493751</v>
      </c>
      <c r="M11" s="154">
        <v>2</v>
      </c>
      <c r="N11" s="302">
        <v>0</v>
      </c>
      <c r="O11" s="240">
        <f>Budget!K7</f>
        <v>0</v>
      </c>
      <c r="P11" s="240">
        <f>Budget!K55</f>
        <v>18322.450286681247</v>
      </c>
      <c r="Q11" s="240">
        <f>O11-P11</f>
        <v>-18322.450286681247</v>
      </c>
      <c r="R11" s="155">
        <f>Q10+Q11</f>
        <v>-20092.821529474997</v>
      </c>
      <c r="S11" s="4"/>
    </row>
    <row r="12" spans="1:40" s="14" customFormat="1" ht="16.5" customHeight="1" thickBot="1" x14ac:dyDescent="0.3">
      <c r="A12" s="4"/>
      <c r="B12" s="361"/>
      <c r="C12" s="181" t="s">
        <v>22</v>
      </c>
      <c r="D12" s="182">
        <f>D9*115%</f>
        <v>6.3249999999999993</v>
      </c>
      <c r="E12" s="183">
        <f>(D12*$E$5)-Budget!$T$55</f>
        <v>16953.685301493744</v>
      </c>
      <c r="F12" s="184">
        <f>(D12*$F$5)-Budget!$T$55</f>
        <v>21313.634301493745</v>
      </c>
      <c r="G12" s="169">
        <f>(D12*$G$5)-Budget!$T$55</f>
        <v>25673.583301493745</v>
      </c>
      <c r="H12" s="169">
        <f>(D12*$H$5)-Budget!$T$55</f>
        <v>30033.532301493738</v>
      </c>
      <c r="I12" s="169">
        <f>(D12*$I$5)-Budget!$T$55</f>
        <v>34393.481301493746</v>
      </c>
      <c r="J12" s="169">
        <f>(D12*$J$5)-Budget!$T$55</f>
        <v>38753.43030149374</v>
      </c>
      <c r="K12" s="185">
        <f>(D12*$K$5)-Budget!$T$55</f>
        <v>43113.37930149374</v>
      </c>
      <c r="L12" s="4"/>
      <c r="M12" s="154">
        <v>3</v>
      </c>
      <c r="N12" s="303">
        <f>1.37*(1-$R$4)</f>
        <v>0.95899999999999996</v>
      </c>
      <c r="O12" s="291">
        <f>Budget!N7</f>
        <v>0</v>
      </c>
      <c r="P12" s="291">
        <f>Budget!N55</f>
        <v>4662.7920582812494</v>
      </c>
      <c r="Q12" s="240">
        <f t="shared" ref="Q12:Q24" si="0">O12-P12</f>
        <v>-4662.7920582812494</v>
      </c>
      <c r="R12" s="155">
        <f>R11+Q12</f>
        <v>-24755.613587756248</v>
      </c>
      <c r="S12" s="4"/>
      <c r="T12"/>
      <c r="U12"/>
      <c r="V12"/>
      <c r="W12"/>
      <c r="X12"/>
      <c r="Y12"/>
      <c r="Z12"/>
      <c r="AA12"/>
      <c r="AB12"/>
      <c r="AC12"/>
      <c r="AD12"/>
      <c r="AE12"/>
      <c r="AF12"/>
      <c r="AG12"/>
      <c r="AH12"/>
      <c r="AI12"/>
    </row>
    <row r="13" spans="1:40" s="4" customFormat="1" ht="15.75" customHeight="1" x14ac:dyDescent="0.25">
      <c r="B13" s="6"/>
      <c r="C13" s="6"/>
      <c r="D13" s="6"/>
      <c r="E13" s="6"/>
      <c r="F13" s="6"/>
      <c r="G13" s="6"/>
      <c r="H13" s="6"/>
      <c r="I13" s="6"/>
      <c r="J13" s="6"/>
      <c r="K13" s="6"/>
      <c r="M13" s="154">
        <v>4</v>
      </c>
      <c r="N13" s="303">
        <f>2.89*(1-$R$4)</f>
        <v>2.0230000000000001</v>
      </c>
      <c r="O13" s="240">
        <f t="shared" ref="O13:O25" si="1">N13*$R$3*$R$5</f>
        <v>10091.735500000001</v>
      </c>
      <c r="P13" s="291">
        <f>Budget!$Q$55</f>
        <v>11505.764139131252</v>
      </c>
      <c r="Q13" s="240">
        <f t="shared" si="0"/>
        <v>-1414.0286391312511</v>
      </c>
      <c r="R13" s="155">
        <f>R12+Q13</f>
        <v>-26169.642226887499</v>
      </c>
      <c r="T13"/>
      <c r="U13"/>
      <c r="V13"/>
      <c r="W13"/>
      <c r="X13"/>
      <c r="Y13"/>
      <c r="Z13"/>
      <c r="AA13"/>
      <c r="AB13"/>
      <c r="AC13"/>
      <c r="AD13"/>
      <c r="AE13"/>
      <c r="AF13"/>
      <c r="AG13"/>
      <c r="AH13"/>
      <c r="AI13"/>
      <c r="AJ13"/>
      <c r="AK13"/>
      <c r="AL13"/>
      <c r="AM13"/>
      <c r="AN13"/>
    </row>
    <row r="14" spans="1:40" s="4" customFormat="1" ht="19.5" customHeight="1" x14ac:dyDescent="0.25">
      <c r="B14" s="355" t="s">
        <v>232</v>
      </c>
      <c r="C14" s="355"/>
      <c r="D14" s="355"/>
      <c r="E14" s="355"/>
      <c r="F14" s="355"/>
      <c r="G14" s="355"/>
      <c r="H14" s="355"/>
      <c r="I14" s="355"/>
      <c r="J14" s="355"/>
      <c r="K14" s="355"/>
      <c r="M14" s="154">
        <v>5</v>
      </c>
      <c r="N14" s="303">
        <f>6.59*(1-$R$4)</f>
        <v>4.6129999999999995</v>
      </c>
      <c r="O14" s="240">
        <f t="shared" si="1"/>
        <v>23011.950499999999</v>
      </c>
      <c r="P14" s="291">
        <f>Budget!$Q$55</f>
        <v>11505.764139131252</v>
      </c>
      <c r="Q14" s="240">
        <f t="shared" si="0"/>
        <v>11506.186360868747</v>
      </c>
      <c r="R14" s="155">
        <f>R13+Q14</f>
        <v>-14663.455866018752</v>
      </c>
      <c r="T14"/>
      <c r="U14"/>
      <c r="V14"/>
      <c r="W14"/>
      <c r="X14"/>
      <c r="Y14"/>
      <c r="Z14"/>
      <c r="AA14"/>
      <c r="AB14"/>
      <c r="AC14"/>
      <c r="AD14"/>
      <c r="AE14"/>
      <c r="AF14"/>
      <c r="AG14"/>
      <c r="AH14"/>
      <c r="AI14"/>
      <c r="AJ14"/>
      <c r="AK14"/>
      <c r="AL14"/>
      <c r="AM14"/>
      <c r="AN14"/>
    </row>
    <row r="15" spans="1:40" s="4" customFormat="1" ht="16.5" thickBot="1" x14ac:dyDescent="0.3">
      <c r="B15" s="356" t="s">
        <v>204</v>
      </c>
      <c r="C15" s="356"/>
      <c r="D15" s="356"/>
      <c r="E15" s="356"/>
      <c r="F15" s="356"/>
      <c r="G15" s="356"/>
      <c r="H15" s="356"/>
      <c r="I15" s="356"/>
      <c r="J15" s="356"/>
      <c r="K15" s="356"/>
      <c r="M15" s="154">
        <v>6</v>
      </c>
      <c r="N15" s="303">
        <f>8.25*(1-$R$4)</f>
        <v>5.7749999999999995</v>
      </c>
      <c r="O15" s="240">
        <f t="shared" si="1"/>
        <v>28808.587499999994</v>
      </c>
      <c r="P15" s="291">
        <f>Budget!$Q$55</f>
        <v>11505.764139131252</v>
      </c>
      <c r="Q15" s="240">
        <f t="shared" si="0"/>
        <v>17302.823360868744</v>
      </c>
      <c r="R15" s="155">
        <f t="shared" ref="R15:R24" si="2">R14+Q15</f>
        <v>2639.367494849992</v>
      </c>
      <c r="T15"/>
      <c r="U15"/>
      <c r="V15"/>
      <c r="W15"/>
      <c r="X15"/>
      <c r="Y15"/>
      <c r="Z15"/>
      <c r="AA15"/>
      <c r="AB15"/>
      <c r="AC15"/>
      <c r="AD15"/>
      <c r="AE15"/>
      <c r="AF15"/>
      <c r="AG15"/>
      <c r="AH15"/>
      <c r="AI15"/>
      <c r="AJ15"/>
      <c r="AK15"/>
      <c r="AL15"/>
      <c r="AM15"/>
      <c r="AN15"/>
    </row>
    <row r="16" spans="1:40" ht="16.5" customHeight="1" x14ac:dyDescent="0.3">
      <c r="B16" s="161"/>
      <c r="C16" s="162"/>
      <c r="D16" s="161"/>
      <c r="E16" s="362" t="s">
        <v>190</v>
      </c>
      <c r="F16" s="357"/>
      <c r="G16" s="357"/>
      <c r="H16" s="357"/>
      <c r="I16" s="357"/>
      <c r="J16" s="357"/>
      <c r="K16" s="358"/>
      <c r="M16" s="154">
        <v>7</v>
      </c>
      <c r="N16" s="303">
        <v>6.7</v>
      </c>
      <c r="O16" s="240">
        <f>N16*$R$3*$R$5</f>
        <v>33422.950000000004</v>
      </c>
      <c r="P16" s="291">
        <f>Budget!$Q$55</f>
        <v>11505.764139131252</v>
      </c>
      <c r="Q16" s="240">
        <f t="shared" si="0"/>
        <v>21917.185860868754</v>
      </c>
      <c r="R16" s="155">
        <f t="shared" si="2"/>
        <v>24556.553355718745</v>
      </c>
      <c r="S16" s="4"/>
    </row>
    <row r="17" spans="2:19" ht="16.5" customHeight="1" x14ac:dyDescent="0.25">
      <c r="B17" s="163"/>
      <c r="C17" s="33"/>
      <c r="D17" s="37"/>
      <c r="E17" s="38" t="s">
        <v>28</v>
      </c>
      <c r="F17" s="38" t="s">
        <v>27</v>
      </c>
      <c r="G17" s="38" t="s">
        <v>26</v>
      </c>
      <c r="H17" s="38" t="s">
        <v>25</v>
      </c>
      <c r="I17" s="38" t="s">
        <v>24</v>
      </c>
      <c r="J17" s="38" t="s">
        <v>23</v>
      </c>
      <c r="K17" s="164" t="s">
        <v>22</v>
      </c>
      <c r="M17" s="154">
        <v>8</v>
      </c>
      <c r="N17" s="302">
        <f t="shared" ref="N17:N22" si="3">10.9*(1-$R$4)</f>
        <v>7.63</v>
      </c>
      <c r="O17" s="240">
        <f t="shared" si="1"/>
        <v>38062.254999999997</v>
      </c>
      <c r="P17" s="291">
        <f>Budget!$T$55</f>
        <v>13565.95769850625</v>
      </c>
      <c r="Q17" s="240">
        <f t="shared" si="0"/>
        <v>24496.297301493745</v>
      </c>
      <c r="R17" s="155">
        <f t="shared" si="2"/>
        <v>49052.85065721249</v>
      </c>
      <c r="S17" s="4"/>
    </row>
    <row r="18" spans="2:19" ht="16.5" customHeight="1" x14ac:dyDescent="0.25">
      <c r="B18" s="348" t="s">
        <v>191</v>
      </c>
      <c r="C18" s="349"/>
      <c r="D18" s="39" t="s">
        <v>28</v>
      </c>
      <c r="E18" s="21">
        <f>(Budget!T7*0.85)-(Budget!T47*0.85)-Budget!T54</f>
        <v>20331.966562144687</v>
      </c>
      <c r="F18" s="16">
        <f>(Budget!T7*0.9)-(Budget!T47*0.85)-Budget!T54</f>
        <v>22227.596562144685</v>
      </c>
      <c r="G18" s="16">
        <f>(Budget!T7*0.95)-(Budget!T47*0.85)-Budget!T54</f>
        <v>24123.226562144682</v>
      </c>
      <c r="H18" s="22">
        <f>Budget!T7-(Budget!T47*0.85)-Budget!T54</f>
        <v>26018.856562144687</v>
      </c>
      <c r="I18" s="22">
        <f>(Budget!T7*1.05)-(Budget!T47*0.85)-Budget!T54</f>
        <v>27914.486562144692</v>
      </c>
      <c r="J18" s="22">
        <f>(Budget!T7*1.1)-(Budget!T47*0.85)-Budget!T54</f>
        <v>29810.116562144689</v>
      </c>
      <c r="K18" s="165">
        <f>(Budget!T7*1.15)-(Budget!T47*0.85)-Budget!T54</f>
        <v>31705.74656214469</v>
      </c>
      <c r="M18" s="154">
        <v>9</v>
      </c>
      <c r="N18" s="302">
        <f t="shared" si="3"/>
        <v>7.63</v>
      </c>
      <c r="O18" s="240">
        <f t="shared" si="1"/>
        <v>38062.254999999997</v>
      </c>
      <c r="P18" s="240">
        <f>Budget!$T$55</f>
        <v>13565.95769850625</v>
      </c>
      <c r="Q18" s="240">
        <f t="shared" si="0"/>
        <v>24496.297301493745</v>
      </c>
      <c r="R18" s="155">
        <f t="shared" si="2"/>
        <v>73549.147958706235</v>
      </c>
      <c r="S18" s="4"/>
    </row>
    <row r="19" spans="2:19" ht="16.5" customHeight="1" x14ac:dyDescent="0.25">
      <c r="B19" s="348"/>
      <c r="C19" s="349"/>
      <c r="D19" s="39" t="s">
        <v>27</v>
      </c>
      <c r="E19" s="23">
        <f>(Budget!T7*0.85)-(Budget!T47*0.9)-Budget!T54</f>
        <v>19774.561808594375</v>
      </c>
      <c r="F19" s="20">
        <f>(Budget!T7*0.9)-(Budget!T47*0.9)-Budget!T54</f>
        <v>21670.191808594373</v>
      </c>
      <c r="G19" s="20">
        <f>(Budget!T7*0.95)-(Budget!T47*0.9)-Budget!T54</f>
        <v>23565.82180859437</v>
      </c>
      <c r="H19" s="24">
        <f>Budget!T7-(Budget!T47*0.9)-Budget!T54</f>
        <v>25461.451808594375</v>
      </c>
      <c r="I19" s="24">
        <f>(Budget!T7*1.05)-(Budget!T47*0.9)-Budget!T54</f>
        <v>27357.081808594379</v>
      </c>
      <c r="J19" s="24">
        <f>(Budget!T7*1.1)-(Budget!T47*0.9)-Budget!T54</f>
        <v>29252.711808594377</v>
      </c>
      <c r="K19" s="166">
        <f>(Budget!T7*1.15)-(Budget!T47*0.9)-Budget!T54</f>
        <v>31148.34180859437</v>
      </c>
      <c r="M19" s="154">
        <v>10</v>
      </c>
      <c r="N19" s="302">
        <f t="shared" si="3"/>
        <v>7.63</v>
      </c>
      <c r="O19" s="240">
        <f t="shared" si="1"/>
        <v>38062.254999999997</v>
      </c>
      <c r="P19" s="240">
        <f>Budget!$T$55</f>
        <v>13565.95769850625</v>
      </c>
      <c r="Q19" s="240">
        <f t="shared" si="0"/>
        <v>24496.297301493745</v>
      </c>
      <c r="R19" s="155">
        <f t="shared" si="2"/>
        <v>98045.44526019998</v>
      </c>
      <c r="S19" s="4"/>
    </row>
    <row r="20" spans="2:19" ht="16.5" customHeight="1" thickBot="1" x14ac:dyDescent="0.3">
      <c r="B20" s="348"/>
      <c r="C20" s="349"/>
      <c r="D20" s="39" t="s">
        <v>26</v>
      </c>
      <c r="E20" s="23">
        <f>(Budget!T7*0.85)-(Budget!T47*0.95)-Budget!T54</f>
        <v>19217.157055044063</v>
      </c>
      <c r="F20" s="20">
        <f>(Budget!T7*0.9)-(Budget!T47*0.95)-Budget!T54</f>
        <v>21112.78705504406</v>
      </c>
      <c r="G20" s="20">
        <f>(Budget!T7*0.95)-(Budget!T47*0.95)-Budget!T54</f>
        <v>23008.417055044058</v>
      </c>
      <c r="H20" s="24">
        <f>Budget!T7-(Budget!T47*0.95)-Budget!T54</f>
        <v>24904.047055044062</v>
      </c>
      <c r="I20" s="24">
        <f>(Budget!T7*1.05)-(Budget!T47*0.95)-Budget!T54</f>
        <v>26799.677055044067</v>
      </c>
      <c r="J20" s="24">
        <f>(Budget!T7*1.1)-(Budget!T47*0.95)-Budget!T54</f>
        <v>28695.307055044064</v>
      </c>
      <c r="K20" s="166">
        <f>(Budget!T7*1.15)-(Budget!T47*0.95)-Budget!T54</f>
        <v>30590.937055044065</v>
      </c>
      <c r="M20" s="154">
        <v>11</v>
      </c>
      <c r="N20" s="302">
        <f t="shared" si="3"/>
        <v>7.63</v>
      </c>
      <c r="O20" s="240">
        <f t="shared" si="1"/>
        <v>38062.254999999997</v>
      </c>
      <c r="P20" s="240">
        <f>Budget!$T$55</f>
        <v>13565.95769850625</v>
      </c>
      <c r="Q20" s="240">
        <f t="shared" si="0"/>
        <v>24496.297301493745</v>
      </c>
      <c r="R20" s="155">
        <f t="shared" si="2"/>
        <v>122541.74256169373</v>
      </c>
      <c r="S20" s="4"/>
    </row>
    <row r="21" spans="2:19" ht="16.5" customHeight="1" thickBot="1" x14ac:dyDescent="0.3">
      <c r="B21" s="348"/>
      <c r="C21" s="349"/>
      <c r="D21" s="39" t="s">
        <v>25</v>
      </c>
      <c r="E21" s="23">
        <f>(Budget!T7*0.85)-Budget!T47-Budget!T54</f>
        <v>18659.752301493751</v>
      </c>
      <c r="F21" s="20">
        <f>(Budget!T7*0.9)-(Budget!T47)-Budget!T54</f>
        <v>20555.382301493748</v>
      </c>
      <c r="G21" s="20">
        <f>(Budget!T7*0.95)-(Budget!T47)-Budget!T54</f>
        <v>22451.012301493745</v>
      </c>
      <c r="H21" s="25">
        <f>Budget!T7-(Budget!T47)-Budget!T54</f>
        <v>24346.64230149375</v>
      </c>
      <c r="I21" s="24">
        <f>(Budget!T7*1.05)-(Budget!T47)-Budget!T54</f>
        <v>26242.272301493755</v>
      </c>
      <c r="J21" s="24">
        <f>(Budget!T7*1.1)-(Budget!T47)-Budget!T54</f>
        <v>28137.902301493752</v>
      </c>
      <c r="K21" s="166">
        <f>(Budget!T7*1.15)-(Budget!T47)-Budget!T54</f>
        <v>30033.532301493749</v>
      </c>
      <c r="M21" s="154">
        <v>12</v>
      </c>
      <c r="N21" s="302">
        <f t="shared" si="3"/>
        <v>7.63</v>
      </c>
      <c r="O21" s="240">
        <f t="shared" si="1"/>
        <v>38062.254999999997</v>
      </c>
      <c r="P21" s="240">
        <f>Budget!$T$55</f>
        <v>13565.95769850625</v>
      </c>
      <c r="Q21" s="240">
        <f t="shared" si="0"/>
        <v>24496.297301493745</v>
      </c>
      <c r="R21" s="155">
        <f t="shared" si="2"/>
        <v>147038.03986318747</v>
      </c>
      <c r="S21" s="4"/>
    </row>
    <row r="22" spans="2:19" ht="16.5" customHeight="1" x14ac:dyDescent="0.25">
      <c r="B22" s="348"/>
      <c r="C22" s="349"/>
      <c r="D22" s="39" t="s">
        <v>24</v>
      </c>
      <c r="E22" s="23">
        <f>(Budget!T7*0.85)-(Budget!T47*1.05)-Budget!T54</f>
        <v>18102.347547943438</v>
      </c>
      <c r="F22" s="20">
        <f>(Budget!T7*0.9)-(Budget!T47*1.05)-Budget!T54</f>
        <v>19997.977547943436</v>
      </c>
      <c r="G22" s="20">
        <f>(Budget!T7*0.95)-(Budget!T47*1.05)-Budget!T54</f>
        <v>21893.607547943433</v>
      </c>
      <c r="H22" s="24">
        <f>Budget!T7-(Budget!T47*1.05)-Budget!T54</f>
        <v>23789.237547943438</v>
      </c>
      <c r="I22" s="24">
        <f>(Budget!T7*1.05)-(Budget!T47*1.05)-Budget!T54</f>
        <v>25684.867547943442</v>
      </c>
      <c r="J22" s="24">
        <f>(Budget!T7*1.1)-(Budget!T47*1.05)-Budget!T54</f>
        <v>27580.49754794344</v>
      </c>
      <c r="K22" s="166">
        <f>(Budget!T7*1.15)-(Budget!T47*1.05)-Budget!T54</f>
        <v>29476.127547943437</v>
      </c>
      <c r="M22" s="154">
        <v>13</v>
      </c>
      <c r="N22" s="302">
        <f t="shared" si="3"/>
        <v>7.63</v>
      </c>
      <c r="O22" s="240">
        <f t="shared" si="1"/>
        <v>38062.254999999997</v>
      </c>
      <c r="P22" s="240">
        <f>Budget!$T$55</f>
        <v>13565.95769850625</v>
      </c>
      <c r="Q22" s="240">
        <f t="shared" si="0"/>
        <v>24496.297301493745</v>
      </c>
      <c r="R22" s="155">
        <f t="shared" si="2"/>
        <v>171534.33716468123</v>
      </c>
      <c r="S22" s="4"/>
    </row>
    <row r="23" spans="2:19" ht="16.5" customHeight="1" x14ac:dyDescent="0.25">
      <c r="B23" s="348"/>
      <c r="C23" s="349"/>
      <c r="D23" s="39" t="s">
        <v>23</v>
      </c>
      <c r="E23" s="23">
        <f>(Budget!T7*0.85)-(Budget!T47*1.1)-Budget!T54</f>
        <v>17544.942794393122</v>
      </c>
      <c r="F23" s="20">
        <f>(Budget!T7*0.9)-(Budget!T47*1.1)-Budget!T54</f>
        <v>19440.57279439312</v>
      </c>
      <c r="G23" s="20">
        <f>(Budget!T7*0.95)-(Budget!T47*1.1)-Budget!T54</f>
        <v>21336.202794393117</v>
      </c>
      <c r="H23" s="24">
        <f>Budget!T7-(Budget!T47*1.1)-Budget!T54</f>
        <v>23231.832794393122</v>
      </c>
      <c r="I23" s="24">
        <f>(Budget!T7*1.05)-(Budget!T47*1.1)-Budget!T54</f>
        <v>25127.462794393126</v>
      </c>
      <c r="J23" s="24">
        <f>(Budget!T7*1.1)-(Budget!T47*1.1)-Budget!T54</f>
        <v>27023.092794393124</v>
      </c>
      <c r="K23" s="166">
        <f>(Budget!T7*1.15)-(Budget!T47*1.1)-Budget!T54</f>
        <v>28918.722794393121</v>
      </c>
      <c r="M23" s="154">
        <v>14</v>
      </c>
      <c r="N23" s="302">
        <f>(10.9-1)*(1-$R$4)</f>
        <v>6.93</v>
      </c>
      <c r="O23" s="240">
        <f t="shared" si="1"/>
        <v>34570.304999999993</v>
      </c>
      <c r="P23" s="240">
        <f>Budget!$T$55</f>
        <v>13565.95769850625</v>
      </c>
      <c r="Q23" s="240">
        <f t="shared" si="0"/>
        <v>21004.347301493741</v>
      </c>
      <c r="R23" s="155">
        <f t="shared" si="2"/>
        <v>192538.68446617498</v>
      </c>
      <c r="S23" s="4"/>
    </row>
    <row r="24" spans="2:19" ht="16.5" customHeight="1" thickBot="1" x14ac:dyDescent="0.3">
      <c r="B24" s="350"/>
      <c r="C24" s="351"/>
      <c r="D24" s="167" t="s">
        <v>22</v>
      </c>
      <c r="E24" s="168">
        <f>(Budget!T7*0.85)-(Budget!T47*1.15)-Budget!T54</f>
        <v>16987.538040842814</v>
      </c>
      <c r="F24" s="169">
        <f>(Budget!T7*0.9)-(Budget!T47*1.15)-Budget!T54</f>
        <v>18883.168040842811</v>
      </c>
      <c r="G24" s="169">
        <f>(Budget!T7*0.95)-(Budget!T47*1.15)-Budget!T54</f>
        <v>20778.798040842808</v>
      </c>
      <c r="H24" s="170">
        <f>Budget!T7-(Budget!T47*1.15)-Budget!T54</f>
        <v>22674.428040842813</v>
      </c>
      <c r="I24" s="170">
        <f>(Budget!T7*1.05)-(Budget!T47*1.15)-Budget!T54</f>
        <v>24570.058040842818</v>
      </c>
      <c r="J24" s="170">
        <f>(Budget!T7*1.1)-(Budget!T47*1.15)-Budget!T54</f>
        <v>26465.688040842815</v>
      </c>
      <c r="K24" s="171">
        <f>(Budget!T7*1.15)-(Budget!T47*1.15)-Budget!T54</f>
        <v>28361.318040842812</v>
      </c>
      <c r="M24" s="154">
        <v>15</v>
      </c>
      <c r="N24" s="302">
        <f>(10.9-2)*(1-$R$4)</f>
        <v>6.2299999999999995</v>
      </c>
      <c r="O24" s="240">
        <f t="shared" si="1"/>
        <v>31078.355</v>
      </c>
      <c r="P24" s="240">
        <f>Budget!$T$55</f>
        <v>13565.95769850625</v>
      </c>
      <c r="Q24" s="240">
        <f t="shared" si="0"/>
        <v>17512.397301493751</v>
      </c>
      <c r="R24" s="155">
        <f t="shared" si="2"/>
        <v>210051.08176766871</v>
      </c>
      <c r="S24" s="4"/>
    </row>
    <row r="25" spans="2:19" ht="16.5" customHeight="1" thickBot="1" x14ac:dyDescent="0.3">
      <c r="B25" s="244"/>
      <c r="C25" s="244"/>
      <c r="D25" s="245"/>
      <c r="E25" s="246"/>
      <c r="F25" s="246"/>
      <c r="G25" s="246"/>
      <c r="H25" s="247"/>
      <c r="I25" s="247"/>
      <c r="J25" s="247"/>
      <c r="K25" s="247"/>
      <c r="M25" s="241">
        <v>16</v>
      </c>
      <c r="N25" s="304">
        <f>(10.9-3)*(1-$R$4)</f>
        <v>5.53</v>
      </c>
      <c r="O25" s="156">
        <f t="shared" si="1"/>
        <v>27586.404999999999</v>
      </c>
      <c r="P25" s="156">
        <f>Budget!$T$55</f>
        <v>13565.95769850625</v>
      </c>
      <c r="Q25" s="156">
        <f>O25-P25</f>
        <v>14020.447301493748</v>
      </c>
      <c r="R25" s="157">
        <f>R24+Q25</f>
        <v>224071.52906916247</v>
      </c>
      <c r="S25" s="4"/>
    </row>
    <row r="26" spans="2:19" ht="20.25" customHeight="1" x14ac:dyDescent="0.25">
      <c r="B26" s="6"/>
      <c r="C26" s="6"/>
      <c r="D26" s="6"/>
      <c r="E26" s="6"/>
      <c r="F26" s="6"/>
      <c r="G26" s="6"/>
      <c r="H26" s="6"/>
      <c r="I26" s="6"/>
      <c r="J26" s="6"/>
      <c r="K26" s="6"/>
      <c r="M26" s="297" t="s">
        <v>228</v>
      </c>
      <c r="S26" s="4"/>
    </row>
    <row r="27" spans="2:19" ht="15" hidden="1" customHeight="1" x14ac:dyDescent="0.25">
      <c r="B27" s="355"/>
      <c r="C27" s="355"/>
      <c r="D27" s="355"/>
      <c r="E27" s="355"/>
      <c r="F27" s="355"/>
      <c r="G27" s="355"/>
      <c r="H27" s="355"/>
      <c r="I27" s="355"/>
      <c r="J27" s="355"/>
      <c r="K27" s="355"/>
      <c r="S27" s="4"/>
    </row>
    <row r="28" spans="2:19" ht="21.75" hidden="1" customHeight="1" x14ac:dyDescent="0.25">
      <c r="B28" s="356"/>
      <c r="C28" s="356"/>
      <c r="D28" s="356"/>
      <c r="E28" s="356"/>
      <c r="F28" s="356"/>
      <c r="G28" s="356"/>
      <c r="H28" s="356"/>
      <c r="I28" s="356"/>
      <c r="J28" s="356"/>
      <c r="K28" s="356"/>
      <c r="S28" s="4"/>
    </row>
    <row r="29" spans="2:19" ht="74.099999999999994" hidden="1" customHeight="1" x14ac:dyDescent="0.25">
      <c r="B29" s="356"/>
      <c r="C29" s="356"/>
      <c r="D29" s="356"/>
      <c r="E29" s="356"/>
      <c r="F29" s="356"/>
      <c r="G29" s="356"/>
      <c r="H29" s="356"/>
      <c r="I29" s="356"/>
      <c r="J29" s="356"/>
      <c r="K29" s="356"/>
      <c r="S29" s="4"/>
    </row>
    <row r="30" spans="2:19" ht="75.95" hidden="1" customHeight="1" x14ac:dyDescent="0.25">
      <c r="B30" s="356"/>
      <c r="C30" s="356"/>
      <c r="D30" s="356"/>
      <c r="E30" s="356"/>
      <c r="F30" s="356"/>
      <c r="G30" s="356"/>
      <c r="H30" s="356"/>
      <c r="I30" s="356"/>
      <c r="J30" s="356"/>
      <c r="K30" s="356"/>
      <c r="S30" s="4"/>
    </row>
    <row r="31" spans="2:19" ht="51.95" hidden="1" customHeight="1" x14ac:dyDescent="0.25">
      <c r="B31" s="356"/>
      <c r="C31" s="356"/>
      <c r="D31" s="356"/>
      <c r="E31" s="356"/>
      <c r="F31" s="356"/>
      <c r="G31" s="356"/>
      <c r="H31" s="356"/>
      <c r="I31" s="356"/>
      <c r="J31" s="356"/>
      <c r="K31" s="356"/>
      <c r="S31" s="4"/>
    </row>
    <row r="32" spans="2:19" hidden="1" x14ac:dyDescent="0.25">
      <c r="B32" s="356"/>
      <c r="C32" s="356"/>
      <c r="D32" s="356"/>
      <c r="E32" s="356"/>
      <c r="F32" s="356"/>
      <c r="G32" s="356"/>
      <c r="H32" s="356"/>
      <c r="I32" s="356"/>
      <c r="J32" s="356"/>
      <c r="K32" s="356"/>
      <c r="S32" s="4"/>
    </row>
    <row r="33" spans="2:19" ht="110.1" hidden="1" customHeight="1" x14ac:dyDescent="0.25">
      <c r="B33" s="356"/>
      <c r="C33" s="356"/>
      <c r="D33" s="356"/>
      <c r="E33" s="356"/>
      <c r="F33" s="356"/>
      <c r="G33" s="356"/>
      <c r="H33" s="356"/>
      <c r="I33" s="356"/>
      <c r="J33" s="356"/>
      <c r="K33" s="356"/>
      <c r="S33" s="4"/>
    </row>
    <row r="34" spans="2:19" ht="15.75" hidden="1" x14ac:dyDescent="0.25">
      <c r="B34" s="40"/>
      <c r="C34" s="40"/>
      <c r="D34" s="40"/>
      <c r="E34" s="40"/>
      <c r="F34" s="40"/>
      <c r="G34" s="40"/>
      <c r="H34" s="40"/>
      <c r="I34" s="40"/>
      <c r="J34" s="40"/>
      <c r="K34" s="40"/>
    </row>
    <row r="35" spans="2:19" ht="15.75" hidden="1" x14ac:dyDescent="0.25">
      <c r="B35" s="41" t="s">
        <v>14</v>
      </c>
      <c r="C35" s="6"/>
      <c r="D35" s="6"/>
      <c r="E35" s="6"/>
    </row>
    <row r="36" spans="2:19" ht="15.75" hidden="1" x14ac:dyDescent="0.25">
      <c r="B36" s="6" t="s">
        <v>33</v>
      </c>
      <c r="C36" s="26"/>
      <c r="D36" s="26"/>
      <c r="E36" s="242">
        <v>0.06</v>
      </c>
      <c r="F36" s="6"/>
      <c r="G36" s="41"/>
      <c r="H36" s="27"/>
      <c r="I36" s="27"/>
      <c r="J36" s="27"/>
      <c r="K36" s="42"/>
    </row>
    <row r="37" spans="2:19" ht="15.75" hidden="1" x14ac:dyDescent="0.25">
      <c r="B37" s="6" t="s">
        <v>62</v>
      </c>
      <c r="C37" s="6"/>
      <c r="D37" s="6"/>
      <c r="E37" s="43">
        <f>(Budget!H57+Budget!K57/(1+E36)+Budget!Q57/((1+E36)^2)+Budget!T57/((1+E36)^3)+Budget!T57/(1+E36)^4)</f>
        <v>26813.607935493412</v>
      </c>
      <c r="F37" s="6"/>
      <c r="G37" s="40"/>
      <c r="H37" s="27"/>
      <c r="I37" s="27"/>
      <c r="J37" s="27"/>
      <c r="K37" s="43"/>
    </row>
    <row r="38" spans="2:19" ht="15.75" hidden="1" x14ac:dyDescent="0.25">
      <c r="B38" s="6" t="s">
        <v>34</v>
      </c>
      <c r="C38" s="6"/>
      <c r="D38" s="6"/>
      <c r="E38" s="43">
        <f>(Budget!H57+Budget!K57/(1+E36)+Budget!Q57/((1+E36)^2)+Budget!T57/((1+E36)^3)+Budget!T57/(1+E36)^4+Budget!T57/(1+E36)^5+Budget!T57/(1+E36)^6+Budget!T57/(1+E36)^7+Budget!T57/(1+E36)^8+Budget!T57/(1+E36)^9)</f>
        <v>108048.28989827118</v>
      </c>
      <c r="G38" s="6"/>
      <c r="H38" s="6"/>
      <c r="I38" s="6"/>
      <c r="J38" s="6"/>
      <c r="K38" s="43"/>
    </row>
    <row r="39" spans="2:19" ht="15.75" hidden="1" x14ac:dyDescent="0.25">
      <c r="B39" s="40" t="s">
        <v>35</v>
      </c>
      <c r="C39" s="40"/>
      <c r="D39" s="43"/>
      <c r="E39" s="43">
        <f>(Budget!H57+Budget!K57/(1+E36)+Budget!Q57/((1+E36)^2)+Budget!T57/((1+E36)^3)+Budget!T57/(1+E36)^4+Budget!T57/(1+E36)^5+Budget!T57/(1+E36)^6+Budget!T57/(1+E36)^7+Budget!T57/(1+E36)^8+Budget!T57/(1+E36)^9+Budget!T57/(1+E36)^10+Budget!T57/(1+E36)^11+Budget!T57/(1+E36)^12+Budget!T57/(1+E36)^13+Budget!T57/(1+E36)^14)</f>
        <v>168751.56991513169</v>
      </c>
      <c r="G39" s="6"/>
      <c r="H39" s="6"/>
      <c r="I39" s="6"/>
      <c r="J39" s="6"/>
      <c r="K39" s="43"/>
    </row>
    <row r="40" spans="2:19" ht="14.45" hidden="1" customHeight="1" x14ac:dyDescent="0.25"/>
    <row r="42" spans="2:19" ht="32.1" hidden="1" customHeight="1" x14ac:dyDescent="0.25"/>
    <row r="43" spans="2:19" ht="15.75" hidden="1" x14ac:dyDescent="0.25">
      <c r="B43" s="359"/>
      <c r="C43" s="359"/>
      <c r="D43" s="359"/>
      <c r="E43" s="359"/>
      <c r="F43" s="359"/>
      <c r="G43" s="359"/>
      <c r="H43" s="359"/>
      <c r="I43" s="359"/>
      <c r="J43" s="359"/>
      <c r="K43" s="359"/>
    </row>
    <row r="44" spans="2:19" ht="15.75" hidden="1" x14ac:dyDescent="0.25">
      <c r="B44" s="359"/>
      <c r="C44" s="359"/>
      <c r="D44" s="359"/>
      <c r="E44" s="359"/>
      <c r="F44" s="359"/>
      <c r="G44" s="359"/>
      <c r="H44" s="359"/>
      <c r="I44" s="359"/>
      <c r="J44" s="359"/>
      <c r="K44" s="359"/>
    </row>
    <row r="45" spans="2:19" ht="15.75" hidden="1" x14ac:dyDescent="0.25">
      <c r="B45" s="243"/>
      <c r="C45" s="243"/>
      <c r="D45" s="243"/>
      <c r="E45" s="243"/>
      <c r="F45" s="243"/>
      <c r="G45" s="243"/>
      <c r="H45" s="243"/>
      <c r="I45" s="243"/>
      <c r="J45" s="243"/>
      <c r="K45" s="243"/>
    </row>
    <row r="46" spans="2:19" ht="15.75" hidden="1" x14ac:dyDescent="0.25">
      <c r="G46" s="6"/>
      <c r="H46" s="6"/>
      <c r="I46" s="6"/>
      <c r="J46" s="6"/>
      <c r="K46" s="6"/>
    </row>
    <row r="47" spans="2:19" ht="15.75" hidden="1" x14ac:dyDescent="0.25">
      <c r="G47" s="6"/>
      <c r="H47" s="6"/>
      <c r="I47" s="6"/>
      <c r="J47" s="6"/>
      <c r="K47" s="6"/>
    </row>
    <row r="48" spans="2:19" ht="15.75" hidden="1" x14ac:dyDescent="0.25">
      <c r="G48" s="6"/>
      <c r="H48" s="6"/>
      <c r="I48" s="6"/>
      <c r="J48" s="6"/>
      <c r="K48" s="6"/>
    </row>
    <row r="49" spans="7:11" ht="15.75" hidden="1" x14ac:dyDescent="0.25">
      <c r="G49" s="6"/>
      <c r="H49" s="6"/>
      <c r="I49" s="6"/>
      <c r="J49" s="6"/>
      <c r="K49" s="6"/>
    </row>
    <row r="50" spans="7:11" ht="15.75" hidden="1" x14ac:dyDescent="0.25">
      <c r="G50" s="6"/>
      <c r="H50" s="6"/>
      <c r="I50" s="6"/>
      <c r="J50" s="6"/>
      <c r="K50" s="6"/>
    </row>
  </sheetData>
  <sheetProtection sheet="1" objects="1" scenarios="1"/>
  <protectedRanges>
    <protectedRange sqref="N10:N25" name="Avg yield"/>
    <protectedRange sqref="P3:P4" name="planting density"/>
    <protectedRange sqref="R4" name="harvest loss"/>
    <protectedRange sqref="D9" name="Price"/>
    <protectedRange sqref="H5" name="Yield"/>
  </protectedRanges>
  <mergeCells count="17">
    <mergeCell ref="B43:K43"/>
    <mergeCell ref="B44:K44"/>
    <mergeCell ref="B30:K32"/>
    <mergeCell ref="B27:K27"/>
    <mergeCell ref="B6:B12"/>
    <mergeCell ref="E16:K16"/>
    <mergeCell ref="B28:K28"/>
    <mergeCell ref="B15:K15"/>
    <mergeCell ref="B29:K29"/>
    <mergeCell ref="B33:K33"/>
    <mergeCell ref="M2:R2"/>
    <mergeCell ref="B18:C24"/>
    <mergeCell ref="M8:R8"/>
    <mergeCell ref="B1:K1"/>
    <mergeCell ref="B14:K14"/>
    <mergeCell ref="B2:K2"/>
    <mergeCell ref="E3:K3"/>
  </mergeCells>
  <phoneticPr fontId="45" type="noConversion"/>
  <conditionalFormatting sqref="E6:K12">
    <cfRule type="cellIs" dxfId="1" priority="2" operator="lessThan">
      <formula>0</formula>
    </cfRule>
  </conditionalFormatting>
  <conditionalFormatting sqref="E18:K25">
    <cfRule type="cellIs" dxfId="0" priority="1" operator="lessThan">
      <formula>0</formula>
    </cfRule>
  </conditionalFormatting>
  <pageMargins left="0.7" right="0.7" top="0.75" bottom="0.75" header="0.3" footer="0.3"/>
  <pageSetup scale="86"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E1293EDA749C499D09F25756402A22" ma:contentTypeVersion="19" ma:contentTypeDescription="Create a new document." ma:contentTypeScope="" ma:versionID="f610af42f5f35fc6cfbfb3e5795ca45d">
  <xsd:schema xmlns:xsd="http://www.w3.org/2001/XMLSchema" xmlns:xs="http://www.w3.org/2001/XMLSchema" xmlns:p="http://schemas.microsoft.com/office/2006/metadata/properties" xmlns:ns2="efba6830-88fc-4660-8252-66421c0ed606" xmlns:ns3="68029b82-de8b-4bb8-a3ab-fd0183ed5d77" targetNamespace="http://schemas.microsoft.com/office/2006/metadata/properties" ma:root="true" ma:fieldsID="b56cae5f79f0fb0f797c4f61633a70a8" ns2:_="" ns3:_="">
    <xsd:import namespace="efba6830-88fc-4660-8252-66421c0ed606"/>
    <xsd:import namespace="68029b82-de8b-4bb8-a3ab-fd0183ed5d7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LengthInSecond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ba6830-88fc-4660-8252-66421c0ed6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e20e570-3a27-4eff-9ea0-d3488a33fbf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029b82-de8b-4bb8-a3ab-fd0183ed5d77"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298e622-2bdb-4ed5-999f-2e6ceaea9292}" ma:internalName="TaxCatchAll" ma:showField="CatchAllData" ma:web="68029b82-de8b-4bb8-a3ab-fd0183ed5d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fba6830-88fc-4660-8252-66421c0ed606">
      <Terms xmlns="http://schemas.microsoft.com/office/infopath/2007/PartnerControls"/>
    </lcf76f155ced4ddcb4097134ff3c332f>
    <TaxCatchAll xmlns="68029b82-de8b-4bb8-a3ab-fd0183ed5d77" xsi:nil="true"/>
  </documentManagement>
</p:properties>
</file>

<file path=customXml/itemProps1.xml><?xml version="1.0" encoding="utf-8"?>
<ds:datastoreItem xmlns:ds="http://schemas.openxmlformats.org/officeDocument/2006/customXml" ds:itemID="{367DCD25-6F71-4407-90C3-43FCA52D7F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ba6830-88fc-4660-8252-66421c0ed606"/>
    <ds:schemaRef ds:uri="68029b82-de8b-4bb8-a3ab-fd0183ed5d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03F0A06-9F9F-49EF-8C3D-05FBF50BAEB2}">
  <ds:schemaRefs>
    <ds:schemaRef ds:uri="http://schemas.microsoft.com/sharepoint/v3/contenttype/forms"/>
  </ds:schemaRefs>
</ds:datastoreItem>
</file>

<file path=customXml/itemProps3.xml><?xml version="1.0" encoding="utf-8"?>
<ds:datastoreItem xmlns:ds="http://schemas.openxmlformats.org/officeDocument/2006/customXml" ds:itemID="{29E28324-32A9-4154-8247-D3B1E0DB2445}">
  <ds:schemaRefs>
    <ds:schemaRef ds:uri="http://purl.org/dc/terms/"/>
    <ds:schemaRef ds:uri="http://www.w3.org/XML/1998/namespace"/>
    <ds:schemaRef ds:uri="http://purl.org/dc/elements/1.1/"/>
    <ds:schemaRef ds:uri="http://schemas.openxmlformats.org/package/2006/metadata/core-properties"/>
    <ds:schemaRef ds:uri="http://schemas.microsoft.com/office/2006/documentManagement/types"/>
    <ds:schemaRef ds:uri="http://schemas.microsoft.com/office/2006/metadata/properties"/>
    <ds:schemaRef ds:uri="efba6830-88fc-4660-8252-66421c0ed606"/>
    <ds:schemaRef ds:uri="68029b82-de8b-4bb8-a3ab-fd0183ed5d77"/>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7</vt:i4>
      </vt:variant>
      <vt:variant>
        <vt:lpstr>Charts</vt:lpstr>
      </vt:variant>
      <vt:variant>
        <vt:i4>2</vt:i4>
      </vt:variant>
      <vt:variant>
        <vt:lpstr>Named Ranges</vt:lpstr>
      </vt:variant>
      <vt:variant>
        <vt:i4>2</vt:i4>
      </vt:variant>
    </vt:vector>
  </HeadingPairs>
  <TitlesOfParts>
    <vt:vector size="11" baseType="lpstr">
      <vt:lpstr>Introduction</vt:lpstr>
      <vt:lpstr>Budget</vt:lpstr>
      <vt:lpstr>Infrastructure</vt:lpstr>
      <vt:lpstr>Chemicals</vt:lpstr>
      <vt:lpstr>Machinery</vt:lpstr>
      <vt:lpstr>Harvest Labor</vt:lpstr>
      <vt:lpstr>Financial Sensitivity</vt:lpstr>
      <vt:lpstr>Yield Chart</vt:lpstr>
      <vt:lpstr>Finance Chart</vt:lpstr>
      <vt:lpstr>Budget!Print_Area</vt:lpstr>
      <vt:lpstr>Machinery!Print_Area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John Kruse</dc:creator>
  <cp:keywords/>
  <dc:description/>
  <cp:lastModifiedBy>Stokes, Victoria</cp:lastModifiedBy>
  <cp:revision/>
  <cp:lastPrinted>2026-03-20T20:05:33Z</cp:lastPrinted>
  <dcterms:created xsi:type="dcterms:W3CDTF">2020-07-30T17:48:44Z</dcterms:created>
  <dcterms:modified xsi:type="dcterms:W3CDTF">2026-06-22T20:54:24Z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0x010100C8E1293EDA749C499D09F25756402A22</vt:lpwstr>
  </property>
  <property fmtid="{D5CDD505-2E9C-101B-9397-08002B2CF9AE}" pid="3" name="MediaServiceImageTags">
    <vt:lpwstr/>
  </property>
</Properties>
</file>