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dskvnq\Downloads\"/>
    </mc:Choice>
  </mc:AlternateContent>
  <xr:revisionPtr revIDLastSave="0" documentId="8_{EB1A5ADB-3085-4A55-B9A9-F50F663E534F}" xr6:coauthVersionLast="47" xr6:coauthVersionMax="47" xr10:uidLastSave="{00000000-0000-0000-0000-000000000000}"/>
  <bookViews>
    <workbookView xWindow="-120" yWindow="-120" windowWidth="29040" windowHeight="15720" xr2:uid="{3E5D7325-3389-4F88-A37A-790FE07E9C87}"/>
  </bookViews>
  <sheets>
    <sheet name="Introduction" sheetId="14" r:id="rId1"/>
    <sheet name="Feed" sheetId="13" r:id="rId2"/>
    <sheet name="Yardage Calculator" sheetId="5" r:id="rId3"/>
    <sheet name="Lot 1" sheetId="16" r:id="rId4"/>
    <sheet name="Lot 2" sheetId="22" r:id="rId5"/>
    <sheet name="Lot 3" sheetId="23" r:id="rId6"/>
    <sheet name="Lot 4" sheetId="24" r:id="rId7"/>
    <sheet name="Lot 5" sheetId="25" r:id="rId8"/>
    <sheet name="Printable record sheet" sheetId="15" r:id="rId9"/>
    <sheet name="Example &quot;lot&quot; sheet" sheetId="11" r:id="rId10"/>
    <sheet name="All lots summary" sheetId="21" r:id="rId11"/>
    <sheet name="_SSC" sheetId="7" state="veryHidden" r:id="rId12"/>
    <sheet name="AUM Evaluator" sheetId="12" state="hidden" r:id="rId13"/>
    <sheet name="Reference - Rations" sheetId="8" state="hidden" r:id="rId14"/>
    <sheet name="Reference - Manure Value" sheetId="10" state="hidden" r:id="rId15"/>
  </sheets>
  <definedNames>
    <definedName name="FeedIngLst">Feed!$B$2:$H$19</definedName>
    <definedName name="Ration1" localSheetId="3">'Lot 1'!$CA$5:$CH$14</definedName>
    <definedName name="Ration1" localSheetId="4">'Lot 2'!$CA$5:$CH$14</definedName>
    <definedName name="Ration1" localSheetId="5">'Lot 3'!$CA$5:$CH$14</definedName>
    <definedName name="Ration1" localSheetId="6">'Lot 4'!$CA$5:$CH$14</definedName>
    <definedName name="Ration1" localSheetId="7">'Lot 5'!$CA$5:$CH$14</definedName>
    <definedName name="Ration1">'Example "lot" sheet'!$CA$5:$CH$14</definedName>
    <definedName name="Ration2" localSheetId="3">'Lot 1'!$CA$16:$CH$25</definedName>
    <definedName name="Ration2" localSheetId="4">'Lot 2'!$CA$16:$CH$25</definedName>
    <definedName name="Ration2" localSheetId="5">'Lot 3'!$CA$16:$CH$25</definedName>
    <definedName name="Ration2" localSheetId="6">'Lot 4'!$CA$16:$CH$25</definedName>
    <definedName name="Ration2" localSheetId="7">'Lot 5'!$CA$16:$CH$25</definedName>
    <definedName name="Ration2">'Example "lot" sheet'!$CA$16:$CH$25</definedName>
    <definedName name="Ration3" localSheetId="3">'Lot 1'!$CA$27:$CH$36</definedName>
    <definedName name="Ration3" localSheetId="4">'Lot 2'!$CA$27:$CH$36</definedName>
    <definedName name="Ration3" localSheetId="5">'Lot 3'!$CA$27:$CH$36</definedName>
    <definedName name="Ration3" localSheetId="6">'Lot 4'!$CA$27:$CH$36</definedName>
    <definedName name="Ration3" localSheetId="7">'Lot 5'!$CA$27:$CH$36</definedName>
    <definedName name="Ration3">'Example "lot" sheet'!$CA$27:$CH$36</definedName>
    <definedName name="Ration4" localSheetId="3">'Lot 1'!$CA$38:$CH$47</definedName>
    <definedName name="Ration4" localSheetId="4">'Lot 2'!$CA$38:$CH$47</definedName>
    <definedName name="Ration4" localSheetId="5">'Lot 3'!$CA$38:$CH$47</definedName>
    <definedName name="Ration4" localSheetId="6">'Lot 4'!$CA$38:$CH$47</definedName>
    <definedName name="Ration4" localSheetId="7">'Lot 5'!$CA$38:$CH$47</definedName>
    <definedName name="Ration4">'Example "lot" sheet'!$CA$38:$CH$47</definedName>
    <definedName name="Ration5" localSheetId="3">'Lot 1'!$CA$49:$CH$58</definedName>
    <definedName name="Ration5" localSheetId="4">'Lot 2'!$CA$49:$CH$58</definedName>
    <definedName name="Ration5" localSheetId="5">'Lot 3'!$CA$49:$CH$58</definedName>
    <definedName name="Ration5" localSheetId="6">'Lot 4'!$CA$49:$CH$58</definedName>
    <definedName name="Ration5" localSheetId="7">'Lot 5'!$CA$49:$CH$58</definedName>
    <definedName name="Ration5">'Example "lot" sheet'!$CA$49:$CH$58</definedName>
    <definedName name="Rationlist" localSheetId="3">'Lot 1'!$BN$5:$BN$11</definedName>
    <definedName name="Rationlist" localSheetId="4">'Lot 2'!$BN$5:$BN$11</definedName>
    <definedName name="Rationlist" localSheetId="5">'Lot 3'!$BN$5:$BN$11</definedName>
    <definedName name="Rationlist" localSheetId="6">'Lot 4'!$BN$5:$BN$11</definedName>
    <definedName name="Rationlist" localSheetId="7">'Lot 5'!$BN$5:$BN$11</definedName>
    <definedName name="Rationlist">'Example "lot" sheet'!$BN$5:$BN$11</definedName>
    <definedName name="rationname" localSheetId="3">'Lot 1'!$BN$6:$BN$11</definedName>
    <definedName name="rationname" localSheetId="4">'Lot 2'!$BN$6:$BN$11</definedName>
    <definedName name="rationname" localSheetId="5">'Lot 3'!$BN$6:$BN$11</definedName>
    <definedName name="rationname" localSheetId="6">'Lot 4'!$BN$6:$BN$11</definedName>
    <definedName name="rationname" localSheetId="7">'Lot 5'!$BN$6:$BN$11</definedName>
    <definedName name="rationname">'Example "lot" sheet'!$BN$6:$BN$11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56" i="16" l="1"/>
  <c r="CF55" i="16"/>
  <c r="CF54" i="16"/>
  <c r="CF53" i="16"/>
  <c r="CF52" i="16"/>
  <c r="CF51" i="16"/>
  <c r="CF50" i="16"/>
  <c r="CF45" i="16"/>
  <c r="CF44" i="16"/>
  <c r="CF43" i="16"/>
  <c r="CF42" i="16"/>
  <c r="CF41" i="16"/>
  <c r="CF40" i="16"/>
  <c r="CF39" i="16"/>
  <c r="CF34" i="16"/>
  <c r="CF33" i="16"/>
  <c r="CF32" i="16"/>
  <c r="CF31" i="16"/>
  <c r="CF30" i="16"/>
  <c r="CF29" i="16"/>
  <c r="CF28" i="16"/>
  <c r="CF56" i="22"/>
  <c r="CF55" i="22"/>
  <c r="CF54" i="22"/>
  <c r="CF53" i="22"/>
  <c r="CF52" i="22"/>
  <c r="CF51" i="22"/>
  <c r="CF50" i="22"/>
  <c r="CF45" i="22"/>
  <c r="CF44" i="22"/>
  <c r="CF43" i="22"/>
  <c r="CF42" i="22"/>
  <c r="CF41" i="22"/>
  <c r="CF40" i="22"/>
  <c r="CF39" i="22"/>
  <c r="CF34" i="22"/>
  <c r="CF33" i="22"/>
  <c r="CF32" i="22"/>
  <c r="CF31" i="22"/>
  <c r="CF30" i="22"/>
  <c r="CF29" i="22"/>
  <c r="CF28" i="22"/>
  <c r="CF56" i="23"/>
  <c r="CF55" i="23"/>
  <c r="CF54" i="23"/>
  <c r="CF53" i="23"/>
  <c r="CF52" i="23"/>
  <c r="CF51" i="23"/>
  <c r="CF50" i="23"/>
  <c r="CF45" i="23"/>
  <c r="CF44" i="23"/>
  <c r="CF43" i="23"/>
  <c r="CF42" i="23"/>
  <c r="CF41" i="23"/>
  <c r="CF40" i="23"/>
  <c r="CF39" i="23"/>
  <c r="CF34" i="23"/>
  <c r="CF33" i="23"/>
  <c r="CF32" i="23"/>
  <c r="CF31" i="23"/>
  <c r="CF30" i="23"/>
  <c r="CF29" i="23"/>
  <c r="CF28" i="23"/>
  <c r="CF56" i="24"/>
  <c r="CF55" i="24"/>
  <c r="CF54" i="24"/>
  <c r="CF53" i="24"/>
  <c r="CF52" i="24"/>
  <c r="CF51" i="24"/>
  <c r="CF50" i="24"/>
  <c r="CF45" i="24"/>
  <c r="CF44" i="24"/>
  <c r="CF43" i="24"/>
  <c r="CF42" i="24"/>
  <c r="CF41" i="24"/>
  <c r="CF40" i="24"/>
  <c r="CF39" i="24"/>
  <c r="CF34" i="24"/>
  <c r="CF33" i="24"/>
  <c r="CF32" i="24"/>
  <c r="CF31" i="24"/>
  <c r="CF30" i="24"/>
  <c r="CF29" i="24"/>
  <c r="CF28" i="24"/>
  <c r="CF56" i="25"/>
  <c r="CF55" i="25"/>
  <c r="CF54" i="25"/>
  <c r="CF53" i="25"/>
  <c r="CF52" i="25"/>
  <c r="CF51" i="25"/>
  <c r="CF50" i="25"/>
  <c r="CF45" i="25"/>
  <c r="CF44" i="25"/>
  <c r="CF43" i="25"/>
  <c r="CF42" i="25"/>
  <c r="CF41" i="25"/>
  <c r="CF40" i="25"/>
  <c r="CF39" i="25"/>
  <c r="CF34" i="25"/>
  <c r="CF33" i="25"/>
  <c r="CF32" i="25"/>
  <c r="CF31" i="25"/>
  <c r="CF30" i="25"/>
  <c r="CF28" i="25"/>
  <c r="CF29" i="25"/>
  <c r="CE57" i="25"/>
  <c r="CP9" i="25" s="1"/>
  <c r="CE46" i="25"/>
  <c r="CP8" i="25" s="1"/>
  <c r="CE57" i="24"/>
  <c r="CE46" i="24"/>
  <c r="CE57" i="23"/>
  <c r="CE46" i="23"/>
  <c r="CE57" i="22"/>
  <c r="CE46" i="22"/>
  <c r="CP8" i="22" s="1"/>
  <c r="CE57" i="16"/>
  <c r="CE46" i="16"/>
  <c r="N16" i="21"/>
  <c r="M16" i="21"/>
  <c r="L16" i="21"/>
  <c r="K16" i="21"/>
  <c r="J16" i="21"/>
  <c r="EB6" i="25"/>
  <c r="EB6" i="24"/>
  <c r="EB6" i="23"/>
  <c r="EB6" i="22"/>
  <c r="EB6" i="16"/>
  <c r="AB15" i="25"/>
  <c r="AB15" i="24"/>
  <c r="AB15" i="23"/>
  <c r="AB15" i="22"/>
  <c r="R5" i="24"/>
  <c r="X5" i="24" s="1"/>
  <c r="R6" i="24"/>
  <c r="X6" i="24" s="1"/>
  <c r="Y6" i="24" s="1"/>
  <c r="AD6" i="24"/>
  <c r="AE6" i="24" s="1"/>
  <c r="R7" i="24"/>
  <c r="AD7" i="24" s="1"/>
  <c r="AE7" i="24" s="1"/>
  <c r="X7" i="24"/>
  <c r="Y7" i="24" s="1"/>
  <c r="R8" i="24"/>
  <c r="X8" i="24" s="1"/>
  <c r="Y8" i="24" s="1"/>
  <c r="AD8" i="24"/>
  <c r="AE8" i="24" s="1"/>
  <c r="R9" i="24"/>
  <c r="X9" i="24" s="1"/>
  <c r="Y9" i="24" s="1"/>
  <c r="R10" i="24"/>
  <c r="X10" i="24" s="1"/>
  <c r="Y10" i="24" s="1"/>
  <c r="AD10" i="24"/>
  <c r="AE10" i="24" s="1"/>
  <c r="R11" i="24"/>
  <c r="X11" i="24"/>
  <c r="Y11" i="24"/>
  <c r="AD11" i="24"/>
  <c r="AE11" i="24" s="1"/>
  <c r="R12" i="24"/>
  <c r="X12" i="24" s="1"/>
  <c r="Y12" i="24" s="1"/>
  <c r="R13" i="24"/>
  <c r="AD13" i="24" s="1"/>
  <c r="AE13" i="24" s="1"/>
  <c r="X13" i="24"/>
  <c r="Y13" i="24" s="1"/>
  <c r="R14" i="24"/>
  <c r="AD14" i="24" s="1"/>
  <c r="AE14" i="24" s="1"/>
  <c r="W15" i="24"/>
  <c r="M4" i="21" s="1"/>
  <c r="AA15" i="24"/>
  <c r="M14" i="21"/>
  <c r="R5" i="22"/>
  <c r="X5" i="22" s="1"/>
  <c r="AD5" i="22"/>
  <c r="AE5" i="22" s="1"/>
  <c r="R6" i="22"/>
  <c r="X6" i="22" s="1"/>
  <c r="Y6" i="22" s="1"/>
  <c r="R7" i="22"/>
  <c r="X7" i="22" s="1"/>
  <c r="Y7" i="22" s="1"/>
  <c r="R8" i="22"/>
  <c r="X8" i="22" s="1"/>
  <c r="Y8" i="22" s="1"/>
  <c r="R9" i="22"/>
  <c r="X9" i="22"/>
  <c r="Y9" i="22" s="1"/>
  <c r="AD9" i="22"/>
  <c r="AE9" i="22" s="1"/>
  <c r="R10" i="22"/>
  <c r="X10" i="22" s="1"/>
  <c r="Y10" i="22" s="1"/>
  <c r="R11" i="22"/>
  <c r="X11" i="22"/>
  <c r="Y11" i="22" s="1"/>
  <c r="AD11" i="22"/>
  <c r="AE11" i="22" s="1"/>
  <c r="R12" i="22"/>
  <c r="X12" i="22" s="1"/>
  <c r="Y12" i="22" s="1"/>
  <c r="R13" i="22"/>
  <c r="X13" i="22" s="1"/>
  <c r="Y13" i="22" s="1"/>
  <c r="R14" i="22"/>
  <c r="AD14" i="22" s="1"/>
  <c r="AE14" i="22" s="1"/>
  <c r="W15" i="22"/>
  <c r="AA15" i="22"/>
  <c r="AB15" i="16"/>
  <c r="N11" i="21"/>
  <c r="N10" i="21"/>
  <c r="N9" i="21"/>
  <c r="N8" i="21"/>
  <c r="F15" i="21"/>
  <c r="F14" i="21"/>
  <c r="F13" i="21"/>
  <c r="F12" i="21"/>
  <c r="F11" i="21"/>
  <c r="F10" i="21"/>
  <c r="N6" i="21" s="1"/>
  <c r="F9" i="21"/>
  <c r="F8" i="21"/>
  <c r="F7" i="21"/>
  <c r="F6" i="21"/>
  <c r="F5" i="21"/>
  <c r="F4" i="21"/>
  <c r="M11" i="21"/>
  <c r="M10" i="21"/>
  <c r="M9" i="21"/>
  <c r="M8" i="21"/>
  <c r="E15" i="21"/>
  <c r="E14" i="21"/>
  <c r="E13" i="21"/>
  <c r="E12" i="21"/>
  <c r="E11" i="21"/>
  <c r="E10" i="21"/>
  <c r="E9" i="21"/>
  <c r="E8" i="21"/>
  <c r="E7" i="21"/>
  <c r="E6" i="21"/>
  <c r="E5" i="21"/>
  <c r="E4" i="21"/>
  <c r="L11" i="21"/>
  <c r="L10" i="21"/>
  <c r="L9" i="21"/>
  <c r="L8" i="21"/>
  <c r="L4" i="21"/>
  <c r="D15" i="21"/>
  <c r="D14" i="21"/>
  <c r="D13" i="21"/>
  <c r="D12" i="21"/>
  <c r="D11" i="21"/>
  <c r="D10" i="21"/>
  <c r="D9" i="21"/>
  <c r="D8" i="21"/>
  <c r="D7" i="21"/>
  <c r="D6" i="21"/>
  <c r="D5" i="21"/>
  <c r="D4" i="21"/>
  <c r="K11" i="21"/>
  <c r="K10" i="21"/>
  <c r="K9" i="21"/>
  <c r="K8" i="21"/>
  <c r="K4" i="21"/>
  <c r="C15" i="21"/>
  <c r="C14" i="21"/>
  <c r="C13" i="21"/>
  <c r="C12" i="21"/>
  <c r="C11" i="21"/>
  <c r="C10" i="21"/>
  <c r="K6" i="21" s="1"/>
  <c r="C9" i="21"/>
  <c r="C8" i="21"/>
  <c r="C7" i="21"/>
  <c r="C6" i="21"/>
  <c r="C5" i="21"/>
  <c r="C4" i="21"/>
  <c r="M6" i="21"/>
  <c r="L6" i="21"/>
  <c r="AQ120" i="23"/>
  <c r="AQ116" i="23"/>
  <c r="AQ113" i="23"/>
  <c r="AQ109" i="23"/>
  <c r="AQ121" i="23" s="1"/>
  <c r="CB61" i="23"/>
  <c r="AZ58" i="23"/>
  <c r="AX58" i="23"/>
  <c r="AV58" i="23"/>
  <c r="AS58" i="23"/>
  <c r="AZ57" i="23"/>
  <c r="AX57" i="23"/>
  <c r="AV57" i="23"/>
  <c r="AS57" i="23"/>
  <c r="AZ56" i="23"/>
  <c r="AX56" i="23"/>
  <c r="AV56" i="23"/>
  <c r="AS56" i="23"/>
  <c r="AR56" i="23"/>
  <c r="CD55" i="23"/>
  <c r="CC55" i="23"/>
  <c r="BF55" i="23"/>
  <c r="BB55" i="23"/>
  <c r="AN55" i="23"/>
  <c r="BE55" i="23" s="1"/>
  <c r="CD54" i="23"/>
  <c r="CC54" i="23"/>
  <c r="BF54" i="23"/>
  <c r="BB54" i="23"/>
  <c r="AN54" i="23"/>
  <c r="BE54" i="23" s="1"/>
  <c r="CD53" i="23"/>
  <c r="CC53" i="23"/>
  <c r="BF53" i="23"/>
  <c r="BB53" i="23"/>
  <c r="AN53" i="23"/>
  <c r="BE53" i="23" s="1"/>
  <c r="CD52" i="23"/>
  <c r="CC52" i="23"/>
  <c r="BF52" i="23"/>
  <c r="BB52" i="23"/>
  <c r="AN52" i="23"/>
  <c r="BE52" i="23" s="1"/>
  <c r="CD51" i="23"/>
  <c r="CC51" i="23"/>
  <c r="BF51" i="23"/>
  <c r="BB51" i="23"/>
  <c r="AN51" i="23"/>
  <c r="BE51" i="23" s="1"/>
  <c r="CD50" i="23"/>
  <c r="CC50" i="23"/>
  <c r="BF50" i="23"/>
  <c r="BB50" i="23"/>
  <c r="AN50" i="23"/>
  <c r="BE50" i="23" s="1"/>
  <c r="CA49" i="23"/>
  <c r="BF49" i="23"/>
  <c r="BB49" i="23"/>
  <c r="AN49" i="23"/>
  <c r="BE49" i="23" s="1"/>
  <c r="BF48" i="23"/>
  <c r="BB48" i="23"/>
  <c r="AN48" i="23"/>
  <c r="BE48" i="23" s="1"/>
  <c r="BF47" i="23"/>
  <c r="BE47" i="23"/>
  <c r="BB47" i="23"/>
  <c r="AW47" i="23"/>
  <c r="AN47" i="23"/>
  <c r="BF46" i="23"/>
  <c r="BB46" i="23"/>
  <c r="AN46" i="23"/>
  <c r="BE46" i="23" s="1"/>
  <c r="BF45" i="23"/>
  <c r="BB45" i="23"/>
  <c r="AN45" i="23"/>
  <c r="BE45" i="23" s="1"/>
  <c r="CD44" i="23"/>
  <c r="CC44" i="23"/>
  <c r="BF44" i="23"/>
  <c r="BB44" i="23"/>
  <c r="AN44" i="23"/>
  <c r="BE44" i="23" s="1"/>
  <c r="CD43" i="23"/>
  <c r="CC43" i="23"/>
  <c r="BF43" i="23"/>
  <c r="BB43" i="23"/>
  <c r="AY43" i="23"/>
  <c r="AN43" i="23"/>
  <c r="BE43" i="23" s="1"/>
  <c r="CD42" i="23"/>
  <c r="CC42" i="23"/>
  <c r="BF42" i="23"/>
  <c r="BB42" i="23"/>
  <c r="AN42" i="23"/>
  <c r="BE42" i="23" s="1"/>
  <c r="CD41" i="23"/>
  <c r="CC41" i="23"/>
  <c r="BF41" i="23"/>
  <c r="BB41" i="23"/>
  <c r="AY41" i="23"/>
  <c r="AN41" i="23"/>
  <c r="BE41" i="23" s="1"/>
  <c r="CD40" i="23"/>
  <c r="CC40" i="23"/>
  <c r="BF40" i="23"/>
  <c r="BB40" i="23"/>
  <c r="AN40" i="23"/>
  <c r="BE40" i="23" s="1"/>
  <c r="CD39" i="23"/>
  <c r="CC39" i="23"/>
  <c r="BF39" i="23"/>
  <c r="BB39" i="23"/>
  <c r="AN39" i="23"/>
  <c r="BE39" i="23" s="1"/>
  <c r="CA38" i="23"/>
  <c r="CM8" i="23" s="1"/>
  <c r="BF38" i="23"/>
  <c r="BB38" i="23"/>
  <c r="AN38" i="23"/>
  <c r="BE38" i="23" s="1"/>
  <c r="BF37" i="23"/>
  <c r="BB37" i="23"/>
  <c r="AN37" i="23"/>
  <c r="BE37" i="23" s="1"/>
  <c r="BF36" i="23"/>
  <c r="BB36" i="23"/>
  <c r="AN36" i="23"/>
  <c r="BE36" i="23" s="1"/>
  <c r="CE35" i="23"/>
  <c r="BF35" i="23"/>
  <c r="BB35" i="23"/>
  <c r="AN35" i="23"/>
  <c r="BE35" i="23" s="1"/>
  <c r="BF34" i="23"/>
  <c r="BB34" i="23"/>
  <c r="AN34" i="23"/>
  <c r="BE34" i="23" s="1"/>
  <c r="CD33" i="23"/>
  <c r="CC33" i="23"/>
  <c r="BF33" i="23"/>
  <c r="BB33" i="23"/>
  <c r="AY33" i="23"/>
  <c r="AN33" i="23"/>
  <c r="BE33" i="23" s="1"/>
  <c r="CD32" i="23"/>
  <c r="CC32" i="23"/>
  <c r="BF32" i="23"/>
  <c r="BB32" i="23"/>
  <c r="AN32" i="23"/>
  <c r="BE32" i="23" s="1"/>
  <c r="CD31" i="23"/>
  <c r="CC31" i="23"/>
  <c r="BF31" i="23"/>
  <c r="BB31" i="23"/>
  <c r="AN31" i="23"/>
  <c r="BE31" i="23" s="1"/>
  <c r="CD30" i="23"/>
  <c r="CC30" i="23"/>
  <c r="BF30" i="23"/>
  <c r="BB30" i="23"/>
  <c r="AY30" i="23"/>
  <c r="AN30" i="23"/>
  <c r="BE30" i="23" s="1"/>
  <c r="DO29" i="23"/>
  <c r="DQ29" i="23" s="1"/>
  <c r="CD29" i="23"/>
  <c r="CC29" i="23"/>
  <c r="BF29" i="23"/>
  <c r="BB29" i="23"/>
  <c r="AN29" i="23"/>
  <c r="BE29" i="23" s="1"/>
  <c r="DO28" i="23"/>
  <c r="DQ28" i="23" s="1"/>
  <c r="CD28" i="23"/>
  <c r="CC28" i="23"/>
  <c r="BF28" i="23"/>
  <c r="BB28" i="23"/>
  <c r="AN28" i="23"/>
  <c r="BE28" i="23" s="1"/>
  <c r="DQ27" i="23"/>
  <c r="DO27" i="23"/>
  <c r="CA27" i="23"/>
  <c r="BF27" i="23"/>
  <c r="BB27" i="23"/>
  <c r="AW27" i="23"/>
  <c r="AN27" i="23"/>
  <c r="BE27" i="23" s="1"/>
  <c r="DQ26" i="23"/>
  <c r="DO26" i="23"/>
  <c r="BF26" i="23"/>
  <c r="BB26" i="23"/>
  <c r="AN26" i="23"/>
  <c r="BE26" i="23" s="1"/>
  <c r="DO25" i="23"/>
  <c r="DQ25" i="23" s="1"/>
  <c r="BF25" i="23"/>
  <c r="BB25" i="23"/>
  <c r="AY25" i="23"/>
  <c r="AN25" i="23"/>
  <c r="BE25" i="23" s="1"/>
  <c r="DO24" i="23"/>
  <c r="DQ24" i="23" s="1"/>
  <c r="CE24" i="23"/>
  <c r="BF24" i="23"/>
  <c r="BB24" i="23"/>
  <c r="AN24" i="23"/>
  <c r="BE24" i="23" s="1"/>
  <c r="DO23" i="23"/>
  <c r="DQ23" i="23" s="1"/>
  <c r="CF23" i="23"/>
  <c r="BY8" i="23" s="1"/>
  <c r="BF23" i="23"/>
  <c r="BB23" i="23"/>
  <c r="AN23" i="23"/>
  <c r="BE23" i="23" s="1"/>
  <c r="EB22" i="23"/>
  <c r="DO22" i="23"/>
  <c r="DQ22" i="23" s="1"/>
  <c r="CF22" i="23"/>
  <c r="CD22" i="23"/>
  <c r="CC22" i="23"/>
  <c r="BF22" i="23"/>
  <c r="BB22" i="23"/>
  <c r="AN22" i="23"/>
  <c r="BE22" i="23" s="1"/>
  <c r="DO21" i="23"/>
  <c r="DQ21" i="23" s="1"/>
  <c r="CF21" i="23"/>
  <c r="CD21" i="23"/>
  <c r="CC21" i="23"/>
  <c r="BF21" i="23"/>
  <c r="BB21" i="23"/>
  <c r="AN21" i="23"/>
  <c r="BE21" i="23" s="1"/>
  <c r="DO20" i="23"/>
  <c r="DQ20" i="23" s="1"/>
  <c r="CF20" i="23"/>
  <c r="CD20" i="23"/>
  <c r="CC20" i="23"/>
  <c r="BF20" i="23"/>
  <c r="BB20" i="23"/>
  <c r="AN20" i="23"/>
  <c r="BE20" i="23" s="1"/>
  <c r="DO19" i="23"/>
  <c r="DQ19" i="23" s="1"/>
  <c r="DB19" i="23"/>
  <c r="EB16" i="23" s="1"/>
  <c r="CF19" i="23"/>
  <c r="CD19" i="23"/>
  <c r="CC19" i="23"/>
  <c r="BF19" i="23"/>
  <c r="BB19" i="23"/>
  <c r="AN19" i="23"/>
  <c r="BE19" i="23" s="1"/>
  <c r="DQ18" i="23"/>
  <c r="DO18" i="23"/>
  <c r="DB18" i="23"/>
  <c r="CF18" i="23"/>
  <c r="CD18" i="23"/>
  <c r="CC18" i="23"/>
  <c r="BF18" i="23"/>
  <c r="BB18" i="23"/>
  <c r="AN18" i="23"/>
  <c r="BE18" i="23" s="1"/>
  <c r="DO17" i="23"/>
  <c r="DQ17" i="23" s="1"/>
  <c r="DB17" i="23"/>
  <c r="CF17" i="23"/>
  <c r="CD17" i="23"/>
  <c r="CC17" i="23"/>
  <c r="BF17" i="23"/>
  <c r="BE17" i="23"/>
  <c r="BB17" i="23"/>
  <c r="BA17" i="23"/>
  <c r="AN17" i="23"/>
  <c r="DO16" i="23"/>
  <c r="DQ16" i="23" s="1"/>
  <c r="DB16" i="23"/>
  <c r="CA16" i="23"/>
  <c r="BF16" i="23"/>
  <c r="BB16" i="23"/>
  <c r="AN16" i="23"/>
  <c r="BE16" i="23" s="1"/>
  <c r="DQ15" i="23"/>
  <c r="DO15" i="23"/>
  <c r="DB15" i="23"/>
  <c r="BF15" i="23"/>
  <c r="BB15" i="23"/>
  <c r="AN15" i="23"/>
  <c r="BE15" i="23" s="1"/>
  <c r="AA15" i="23"/>
  <c r="W15" i="23"/>
  <c r="DO14" i="23"/>
  <c r="DQ14" i="23" s="1"/>
  <c r="DB14" i="23"/>
  <c r="BF14" i="23"/>
  <c r="BB14" i="23"/>
  <c r="AN14" i="23"/>
  <c r="BE14" i="23" s="1"/>
  <c r="R14" i="23"/>
  <c r="X14" i="23" s="1"/>
  <c r="Y14" i="23" s="1"/>
  <c r="EB13" i="23"/>
  <c r="DO13" i="23"/>
  <c r="DQ13" i="23" s="1"/>
  <c r="DB13" i="23"/>
  <c r="CE13" i="23"/>
  <c r="CP5" i="23" s="1"/>
  <c r="BF13" i="23"/>
  <c r="BB13" i="23"/>
  <c r="AN13" i="23"/>
  <c r="BE13" i="23" s="1"/>
  <c r="R13" i="23"/>
  <c r="DO12" i="23"/>
  <c r="DQ12" i="23" s="1"/>
  <c r="DB12" i="23"/>
  <c r="BF12" i="23"/>
  <c r="BB12" i="23"/>
  <c r="AN12" i="23"/>
  <c r="BE12" i="23" s="1"/>
  <c r="X12" i="23"/>
  <c r="Y12" i="23" s="1"/>
  <c r="R12" i="23"/>
  <c r="AD12" i="23" s="1"/>
  <c r="AE12" i="23" s="1"/>
  <c r="DO11" i="23"/>
  <c r="DQ11" i="23" s="1"/>
  <c r="DB11" i="23"/>
  <c r="CD11" i="23"/>
  <c r="CC11" i="23"/>
  <c r="BU11" i="23"/>
  <c r="BT11" i="23"/>
  <c r="BS11" i="23"/>
  <c r="BR11" i="23"/>
  <c r="BQ11" i="23"/>
  <c r="BF11" i="23"/>
  <c r="BB11" i="23"/>
  <c r="AN11" i="23"/>
  <c r="BE11" i="23" s="1"/>
  <c r="R11" i="23"/>
  <c r="AD11" i="23" s="1"/>
  <c r="AE11" i="23" s="1"/>
  <c r="DQ10" i="23"/>
  <c r="DO10" i="23"/>
  <c r="DB10" i="23"/>
  <c r="CD10" i="23"/>
  <c r="CC10" i="23"/>
  <c r="BS10" i="23"/>
  <c r="BT10" i="23" s="1"/>
  <c r="BU10" i="23" s="1"/>
  <c r="BR10" i="23"/>
  <c r="BQ10" i="23"/>
  <c r="BF10" i="23"/>
  <c r="BB10" i="23"/>
  <c r="AW10" i="23"/>
  <c r="AN10" i="23"/>
  <c r="BE10" i="23" s="1"/>
  <c r="R10" i="23"/>
  <c r="DZ9" i="23"/>
  <c r="DS9" i="23"/>
  <c r="DO9" i="23"/>
  <c r="DQ9" i="23" s="1"/>
  <c r="DB9" i="23"/>
  <c r="CP9" i="23"/>
  <c r="CN9" i="23"/>
  <c r="CM9" i="23"/>
  <c r="CF9" i="23"/>
  <c r="CD9" i="23"/>
  <c r="CC9" i="23"/>
  <c r="BS9" i="23"/>
  <c r="BT9" i="23" s="1"/>
  <c r="BU9" i="23" s="1"/>
  <c r="BR9" i="23"/>
  <c r="BQ9" i="23"/>
  <c r="BF9" i="23"/>
  <c r="BB9" i="23"/>
  <c r="AN9" i="23"/>
  <c r="BE9" i="23" s="1"/>
  <c r="R9" i="23"/>
  <c r="DS8" i="23"/>
  <c r="DO8" i="23"/>
  <c r="DQ8" i="23" s="1"/>
  <c r="DB8" i="23"/>
  <c r="CP8" i="23"/>
  <c r="CN8" i="23"/>
  <c r="CD8" i="23"/>
  <c r="CC8" i="23"/>
  <c r="BS8" i="23"/>
  <c r="BR8" i="23"/>
  <c r="BQ8" i="23"/>
  <c r="CN6" i="23" s="1"/>
  <c r="BF8" i="23"/>
  <c r="BB8" i="23"/>
  <c r="BA8" i="23"/>
  <c r="AN8" i="23"/>
  <c r="BE8" i="23" s="1"/>
  <c r="R8" i="23"/>
  <c r="DS7" i="23"/>
  <c r="DO7" i="23"/>
  <c r="DQ7" i="23" s="1"/>
  <c r="DB7" i="23"/>
  <c r="CP7" i="23"/>
  <c r="CN7" i="23"/>
  <c r="CM7" i="23"/>
  <c r="CD7" i="23"/>
  <c r="CC7" i="23"/>
  <c r="BS7" i="23"/>
  <c r="BT7" i="23" s="1"/>
  <c r="BU7" i="23" s="1"/>
  <c r="BR7" i="23"/>
  <c r="BQ7" i="23"/>
  <c r="BF7" i="23"/>
  <c r="BB7" i="23"/>
  <c r="BA7" i="23"/>
  <c r="AN7" i="23"/>
  <c r="BE7" i="23" s="1"/>
  <c r="R7" i="23"/>
  <c r="DS6" i="23"/>
  <c r="DO6" i="23"/>
  <c r="DQ6" i="23" s="1"/>
  <c r="DB6" i="23"/>
  <c r="CP6" i="23"/>
  <c r="CM6" i="23"/>
  <c r="CD6" i="23"/>
  <c r="CC6" i="23"/>
  <c r="BF6" i="23"/>
  <c r="BB6" i="23"/>
  <c r="AN6" i="23"/>
  <c r="R6" i="23"/>
  <c r="X6" i="23" s="1"/>
  <c r="Y6" i="23" s="1"/>
  <c r="DS5" i="23"/>
  <c r="DO5" i="23"/>
  <c r="DQ5" i="23" s="1"/>
  <c r="DB5" i="23"/>
  <c r="CN5" i="23"/>
  <c r="CA5" i="23"/>
  <c r="CM5" i="23" s="1"/>
  <c r="X5" i="23"/>
  <c r="R5" i="23"/>
  <c r="O5" i="23" s="1"/>
  <c r="BB4" i="23"/>
  <c r="BA4" i="23"/>
  <c r="BA38" i="23" s="1"/>
  <c r="AY4" i="23"/>
  <c r="AY55" i="23" s="1"/>
  <c r="AW4" i="23"/>
  <c r="AW35" i="23" s="1"/>
  <c r="AU4" i="23"/>
  <c r="BQ2" i="23"/>
  <c r="AQ120" i="25"/>
  <c r="AQ116" i="25"/>
  <c r="AQ113" i="25"/>
  <c r="AQ109" i="25"/>
  <c r="AQ121" i="25" s="1"/>
  <c r="CB61" i="25"/>
  <c r="AZ58" i="25"/>
  <c r="AX58" i="25"/>
  <c r="AV58" i="25"/>
  <c r="AS58" i="25"/>
  <c r="AZ57" i="25"/>
  <c r="AX57" i="25"/>
  <c r="AV57" i="25"/>
  <c r="AS57" i="25"/>
  <c r="AZ56" i="25"/>
  <c r="AX56" i="25"/>
  <c r="AV56" i="25"/>
  <c r="AS56" i="25"/>
  <c r="AR56" i="25"/>
  <c r="CD55" i="25"/>
  <c r="CC55" i="25"/>
  <c r="BF55" i="25"/>
  <c r="BB55" i="25"/>
  <c r="AN55" i="25"/>
  <c r="BE55" i="25" s="1"/>
  <c r="CD54" i="25"/>
  <c r="CC54" i="25"/>
  <c r="BF54" i="25"/>
  <c r="BB54" i="25"/>
  <c r="AN54" i="25"/>
  <c r="BE54" i="25" s="1"/>
  <c r="CD53" i="25"/>
  <c r="CC53" i="25"/>
  <c r="BF53" i="25"/>
  <c r="BB53" i="25"/>
  <c r="AN53" i="25"/>
  <c r="BE53" i="25" s="1"/>
  <c r="CD52" i="25"/>
  <c r="CC52" i="25"/>
  <c r="BF52" i="25"/>
  <c r="BB52" i="25"/>
  <c r="AN52" i="25"/>
  <c r="BE52" i="25" s="1"/>
  <c r="CD51" i="25"/>
  <c r="CC51" i="25"/>
  <c r="BF51" i="25"/>
  <c r="BB51" i="25"/>
  <c r="AN51" i="25"/>
  <c r="BE51" i="25" s="1"/>
  <c r="CD50" i="25"/>
  <c r="CC50" i="25"/>
  <c r="BF50" i="25"/>
  <c r="BB50" i="25"/>
  <c r="AN50" i="25"/>
  <c r="BE50" i="25" s="1"/>
  <c r="CA49" i="25"/>
  <c r="BF49" i="25"/>
  <c r="BB49" i="25"/>
  <c r="AN49" i="25"/>
  <c r="BE49" i="25" s="1"/>
  <c r="BF48" i="25"/>
  <c r="BB48" i="25"/>
  <c r="AN48" i="25"/>
  <c r="BE48" i="25" s="1"/>
  <c r="BF47" i="25"/>
  <c r="BB47" i="25"/>
  <c r="AN47" i="25"/>
  <c r="BE47" i="25" s="1"/>
  <c r="BF46" i="25"/>
  <c r="BB46" i="25"/>
  <c r="AN46" i="25"/>
  <c r="BE46" i="25" s="1"/>
  <c r="BF45" i="25"/>
  <c r="BB45" i="25"/>
  <c r="AN45" i="25"/>
  <c r="BE45" i="25" s="1"/>
  <c r="CD44" i="25"/>
  <c r="CC44" i="25"/>
  <c r="BF44" i="25"/>
  <c r="BB44" i="25"/>
  <c r="AN44" i="25"/>
  <c r="BE44" i="25" s="1"/>
  <c r="CD43" i="25"/>
  <c r="CC43" i="25"/>
  <c r="BF43" i="25"/>
  <c r="BB43" i="25"/>
  <c r="AN43" i="25"/>
  <c r="BE43" i="25" s="1"/>
  <c r="CD42" i="25"/>
  <c r="CC42" i="25"/>
  <c r="BF42" i="25"/>
  <c r="BB42" i="25"/>
  <c r="AN42" i="25"/>
  <c r="BE42" i="25" s="1"/>
  <c r="CD41" i="25"/>
  <c r="CC41" i="25"/>
  <c r="BF41" i="25"/>
  <c r="BB41" i="25"/>
  <c r="AN41" i="25"/>
  <c r="BE41" i="25" s="1"/>
  <c r="CD40" i="25"/>
  <c r="CC40" i="25"/>
  <c r="BF40" i="25"/>
  <c r="BB40" i="25"/>
  <c r="AN40" i="25"/>
  <c r="BE40" i="25" s="1"/>
  <c r="CD39" i="25"/>
  <c r="CC39" i="25"/>
  <c r="BF39" i="25"/>
  <c r="BB39" i="25"/>
  <c r="AN39" i="25"/>
  <c r="BE39" i="25" s="1"/>
  <c r="CA38" i="25"/>
  <c r="BF38" i="25"/>
  <c r="BB38" i="25"/>
  <c r="AN38" i="25"/>
  <c r="BE38" i="25" s="1"/>
  <c r="BF37" i="25"/>
  <c r="BB37" i="25"/>
  <c r="AN37" i="25"/>
  <c r="BE37" i="25" s="1"/>
  <c r="BF36" i="25"/>
  <c r="BB36" i="25"/>
  <c r="AN36" i="25"/>
  <c r="BE36" i="25" s="1"/>
  <c r="CE35" i="25"/>
  <c r="CP7" i="25" s="1"/>
  <c r="BF35" i="25"/>
  <c r="BB35" i="25"/>
  <c r="AN35" i="25"/>
  <c r="BE35" i="25" s="1"/>
  <c r="BF34" i="25"/>
  <c r="BB34" i="25"/>
  <c r="AN34" i="25"/>
  <c r="BE34" i="25" s="1"/>
  <c r="CD33" i="25"/>
  <c r="CC33" i="25"/>
  <c r="BF33" i="25"/>
  <c r="BB33" i="25"/>
  <c r="AN33" i="25"/>
  <c r="BE33" i="25" s="1"/>
  <c r="CD32" i="25"/>
  <c r="CC32" i="25"/>
  <c r="BF32" i="25"/>
  <c r="BB32" i="25"/>
  <c r="AN32" i="25"/>
  <c r="BE32" i="25" s="1"/>
  <c r="CD31" i="25"/>
  <c r="CC31" i="25"/>
  <c r="BF31" i="25"/>
  <c r="BB31" i="25"/>
  <c r="AN31" i="25"/>
  <c r="BE31" i="25" s="1"/>
  <c r="CD30" i="25"/>
  <c r="CC30" i="25"/>
  <c r="BF30" i="25"/>
  <c r="BB30" i="25"/>
  <c r="AN30" i="25"/>
  <c r="BE30" i="25" s="1"/>
  <c r="DO29" i="25"/>
  <c r="DQ29" i="25" s="1"/>
  <c r="CD29" i="25"/>
  <c r="CC29" i="25"/>
  <c r="BF29" i="25"/>
  <c r="BB29" i="25"/>
  <c r="AN29" i="25"/>
  <c r="BE29" i="25" s="1"/>
  <c r="DO28" i="25"/>
  <c r="DQ28" i="25" s="1"/>
  <c r="CD28" i="25"/>
  <c r="CC28" i="25"/>
  <c r="BF28" i="25"/>
  <c r="BB28" i="25"/>
  <c r="AN28" i="25"/>
  <c r="BE28" i="25" s="1"/>
  <c r="DO27" i="25"/>
  <c r="DQ27" i="25" s="1"/>
  <c r="CA27" i="25"/>
  <c r="CM7" i="25" s="1"/>
  <c r="BF27" i="25"/>
  <c r="BB27" i="25"/>
  <c r="AN27" i="25"/>
  <c r="BE27" i="25" s="1"/>
  <c r="DO26" i="25"/>
  <c r="DQ26" i="25" s="1"/>
  <c r="BF26" i="25"/>
  <c r="BB26" i="25"/>
  <c r="AN26" i="25"/>
  <c r="BE26" i="25" s="1"/>
  <c r="DO25" i="25"/>
  <c r="DQ25" i="25" s="1"/>
  <c r="BF25" i="25"/>
  <c r="BB25" i="25"/>
  <c r="AN25" i="25"/>
  <c r="BE25" i="25" s="1"/>
  <c r="DO24" i="25"/>
  <c r="DQ24" i="25" s="1"/>
  <c r="CE24" i="25"/>
  <c r="BF24" i="25"/>
  <c r="BB24" i="25"/>
  <c r="AN24" i="25"/>
  <c r="BE24" i="25" s="1"/>
  <c r="DQ23" i="25"/>
  <c r="DO23" i="25"/>
  <c r="BF23" i="25"/>
  <c r="BB23" i="25"/>
  <c r="AN23" i="25"/>
  <c r="BE23" i="25" s="1"/>
  <c r="EB22" i="25"/>
  <c r="DO22" i="25"/>
  <c r="DQ22" i="25" s="1"/>
  <c r="CF22" i="25"/>
  <c r="CD22" i="25"/>
  <c r="CC22" i="25"/>
  <c r="BF22" i="25"/>
  <c r="BB22" i="25"/>
  <c r="AN22" i="25"/>
  <c r="BE22" i="25" s="1"/>
  <c r="DO21" i="25"/>
  <c r="DQ21" i="25" s="1"/>
  <c r="CD21" i="25"/>
  <c r="CC21" i="25"/>
  <c r="BF21" i="25"/>
  <c r="BB21" i="25"/>
  <c r="AN21" i="25"/>
  <c r="BE21" i="25" s="1"/>
  <c r="DO20" i="25"/>
  <c r="DQ20" i="25" s="1"/>
  <c r="CD20" i="25"/>
  <c r="CC20" i="25"/>
  <c r="BF20" i="25"/>
  <c r="BB20" i="25"/>
  <c r="AN20" i="25"/>
  <c r="BE20" i="25" s="1"/>
  <c r="DO19" i="25"/>
  <c r="DQ19" i="25" s="1"/>
  <c r="DB19" i="25"/>
  <c r="EB16" i="25" s="1"/>
  <c r="CD19" i="25"/>
  <c r="CC19" i="25"/>
  <c r="BF19" i="25"/>
  <c r="BB19" i="25"/>
  <c r="AN19" i="25"/>
  <c r="BE19" i="25" s="1"/>
  <c r="EB18" i="25"/>
  <c r="DO18" i="25"/>
  <c r="DQ18" i="25" s="1"/>
  <c r="DB18" i="25"/>
  <c r="CD18" i="25"/>
  <c r="CC18" i="25"/>
  <c r="BF18" i="25"/>
  <c r="BB18" i="25"/>
  <c r="AN18" i="25"/>
  <c r="BE18" i="25" s="1"/>
  <c r="DO17" i="25"/>
  <c r="DQ17" i="25" s="1"/>
  <c r="DB17" i="25"/>
  <c r="CD17" i="25"/>
  <c r="CC17" i="25"/>
  <c r="BF17" i="25"/>
  <c r="BB17" i="25"/>
  <c r="AN17" i="25"/>
  <c r="BE17" i="25" s="1"/>
  <c r="DQ16" i="25"/>
  <c r="DO16" i="25"/>
  <c r="DB16" i="25"/>
  <c r="CA16" i="25"/>
  <c r="CM6" i="25" s="1"/>
  <c r="BF16" i="25"/>
  <c r="BB16" i="25"/>
  <c r="AN16" i="25"/>
  <c r="BE16" i="25" s="1"/>
  <c r="DO15" i="25"/>
  <c r="DQ15" i="25" s="1"/>
  <c r="DB15" i="25"/>
  <c r="BF15" i="25"/>
  <c r="BB15" i="25"/>
  <c r="AN15" i="25"/>
  <c r="BE15" i="25" s="1"/>
  <c r="N14" i="21"/>
  <c r="AA15" i="25"/>
  <c r="W15" i="25"/>
  <c r="DZ12" i="25" s="1"/>
  <c r="DO14" i="25"/>
  <c r="DQ14" i="25" s="1"/>
  <c r="DB14" i="25"/>
  <c r="BF14" i="25"/>
  <c r="BB14" i="25"/>
  <c r="AN14" i="25"/>
  <c r="BE14" i="25" s="1"/>
  <c r="R14" i="25"/>
  <c r="AD14" i="25" s="1"/>
  <c r="AE14" i="25" s="1"/>
  <c r="EB13" i="25"/>
  <c r="DO13" i="25"/>
  <c r="DQ13" i="25" s="1"/>
  <c r="DB13" i="25"/>
  <c r="CE13" i="25"/>
  <c r="CF10" i="25" s="1"/>
  <c r="BF13" i="25"/>
  <c r="BB13" i="25"/>
  <c r="AN13" i="25"/>
  <c r="BE13" i="25" s="1"/>
  <c r="R13" i="25"/>
  <c r="AD13" i="25" s="1"/>
  <c r="AE13" i="25" s="1"/>
  <c r="DO12" i="25"/>
  <c r="DQ12" i="25" s="1"/>
  <c r="DB12" i="25"/>
  <c r="BF12" i="25"/>
  <c r="BB12" i="25"/>
  <c r="AN12" i="25"/>
  <c r="BE12" i="25" s="1"/>
  <c r="R12" i="25"/>
  <c r="X12" i="25" s="1"/>
  <c r="Y12" i="25" s="1"/>
  <c r="DO11" i="25"/>
  <c r="DQ11" i="25" s="1"/>
  <c r="DB11" i="25"/>
  <c r="CD11" i="25"/>
  <c r="CC11" i="25"/>
  <c r="BU11" i="25"/>
  <c r="BT11" i="25"/>
  <c r="BS11" i="25"/>
  <c r="BR11" i="25"/>
  <c r="BQ11" i="25"/>
  <c r="CN9" i="25" s="1"/>
  <c r="BF11" i="25"/>
  <c r="BB11" i="25"/>
  <c r="AN11" i="25"/>
  <c r="BE11" i="25" s="1"/>
  <c r="R11" i="25"/>
  <c r="X11" i="25" s="1"/>
  <c r="Y11" i="25" s="1"/>
  <c r="DO10" i="25"/>
  <c r="DQ10" i="25" s="1"/>
  <c r="DB10" i="25"/>
  <c r="CD10" i="25"/>
  <c r="CC10" i="25"/>
  <c r="BT10" i="25"/>
  <c r="BU10" i="25" s="1"/>
  <c r="BS10" i="25"/>
  <c r="BR10" i="25"/>
  <c r="BQ10" i="25"/>
  <c r="CN8" i="25" s="1"/>
  <c r="BF10" i="25"/>
  <c r="BB10" i="25"/>
  <c r="AN10" i="25"/>
  <c r="BE10" i="25" s="1"/>
  <c r="R10" i="25"/>
  <c r="AD10" i="25" s="1"/>
  <c r="AE10" i="25" s="1"/>
  <c r="DZ9" i="25"/>
  <c r="DS9" i="25"/>
  <c r="DO9" i="25"/>
  <c r="DQ9" i="25" s="1"/>
  <c r="DB9" i="25"/>
  <c r="CM9" i="25"/>
  <c r="CD9" i="25"/>
  <c r="CC9" i="25"/>
  <c r="BS9" i="25"/>
  <c r="BR9" i="25"/>
  <c r="BQ9" i="25"/>
  <c r="CN7" i="25" s="1"/>
  <c r="BF9" i="25"/>
  <c r="BB9" i="25"/>
  <c r="AN9" i="25"/>
  <c r="BE9" i="25" s="1"/>
  <c r="R9" i="25"/>
  <c r="AD9" i="25" s="1"/>
  <c r="AE9" i="25" s="1"/>
  <c r="DS8" i="25"/>
  <c r="DO8" i="25"/>
  <c r="DQ8" i="25" s="1"/>
  <c r="DB8" i="25"/>
  <c r="CM8" i="25"/>
  <c r="CD8" i="25"/>
  <c r="CC8" i="25"/>
  <c r="BS8" i="25"/>
  <c r="BR8" i="25"/>
  <c r="BQ8" i="25"/>
  <c r="CN6" i="25" s="1"/>
  <c r="BF8" i="25"/>
  <c r="BB8" i="25"/>
  <c r="AN8" i="25"/>
  <c r="BE8" i="25" s="1"/>
  <c r="X8" i="25"/>
  <c r="Y8" i="25" s="1"/>
  <c r="R8" i="25"/>
  <c r="AD8" i="25" s="1"/>
  <c r="AE8" i="25" s="1"/>
  <c r="DS7" i="25"/>
  <c r="DO7" i="25"/>
  <c r="DQ7" i="25" s="1"/>
  <c r="DB7" i="25"/>
  <c r="CD7" i="25"/>
  <c r="CC7" i="25"/>
  <c r="BS7" i="25"/>
  <c r="BR7" i="25"/>
  <c r="BQ7" i="25"/>
  <c r="CN5" i="25" s="1"/>
  <c r="BF7" i="25"/>
  <c r="BB7" i="25"/>
  <c r="AN7" i="25"/>
  <c r="BE7" i="25" s="1"/>
  <c r="R7" i="25"/>
  <c r="X7" i="25" s="1"/>
  <c r="Y7" i="25" s="1"/>
  <c r="DS6" i="25"/>
  <c r="DO6" i="25"/>
  <c r="DQ6" i="25" s="1"/>
  <c r="DB6" i="25"/>
  <c r="CP6" i="25"/>
  <c r="CD6" i="25"/>
  <c r="CC6" i="25"/>
  <c r="BF6" i="25"/>
  <c r="BB6" i="25"/>
  <c r="AN6" i="25"/>
  <c r="BE6" i="25" s="1"/>
  <c r="R6" i="25"/>
  <c r="AD6" i="25" s="1"/>
  <c r="AE6" i="25" s="1"/>
  <c r="DS5" i="25"/>
  <c r="DO5" i="25"/>
  <c r="DQ5" i="25" s="1"/>
  <c r="DB5" i="25"/>
  <c r="CM5" i="25"/>
  <c r="CA5" i="25"/>
  <c r="R5" i="25"/>
  <c r="O5" i="25" s="1"/>
  <c r="BB4" i="25"/>
  <c r="BA4" i="25"/>
  <c r="BA39" i="25" s="1"/>
  <c r="AY4" i="25"/>
  <c r="AY18" i="25" s="1"/>
  <c r="AW4" i="25"/>
  <c r="AW18" i="25" s="1"/>
  <c r="AU4" i="25"/>
  <c r="BQ2" i="25"/>
  <c r="AQ120" i="24"/>
  <c r="AQ116" i="24"/>
  <c r="AQ113" i="24"/>
  <c r="AQ109" i="24"/>
  <c r="AQ121" i="24" s="1"/>
  <c r="CB61" i="24"/>
  <c r="AZ58" i="24"/>
  <c r="AX58" i="24"/>
  <c r="AV58" i="24"/>
  <c r="AS58" i="24"/>
  <c r="AZ57" i="24"/>
  <c r="AX57" i="24"/>
  <c r="AV57" i="24"/>
  <c r="AS57" i="24"/>
  <c r="AZ56" i="24"/>
  <c r="AS60" i="24" s="1"/>
  <c r="AX56" i="24"/>
  <c r="AV56" i="24"/>
  <c r="AS56" i="24"/>
  <c r="AR56" i="24"/>
  <c r="CD55" i="24"/>
  <c r="CC55" i="24"/>
  <c r="BF55" i="24"/>
  <c r="BB55" i="24"/>
  <c r="AN55" i="24"/>
  <c r="BE55" i="24" s="1"/>
  <c r="CD54" i="24"/>
  <c r="CC54" i="24"/>
  <c r="BF54" i="24"/>
  <c r="BB54" i="24"/>
  <c r="AN54" i="24"/>
  <c r="BE54" i="24" s="1"/>
  <c r="CD53" i="24"/>
  <c r="CC53" i="24"/>
  <c r="BF53" i="24"/>
  <c r="BB53" i="24"/>
  <c r="AN53" i="24"/>
  <c r="BE53" i="24" s="1"/>
  <c r="CD52" i="24"/>
  <c r="CC52" i="24"/>
  <c r="BF52" i="24"/>
  <c r="BB52" i="24"/>
  <c r="AN52" i="24"/>
  <c r="BE52" i="24" s="1"/>
  <c r="CD51" i="24"/>
  <c r="CC51" i="24"/>
  <c r="BF51" i="24"/>
  <c r="BB51" i="24"/>
  <c r="AN51" i="24"/>
  <c r="BE51" i="24" s="1"/>
  <c r="CD50" i="24"/>
  <c r="CC50" i="24"/>
  <c r="BF50" i="24"/>
  <c r="BB50" i="24"/>
  <c r="AN50" i="24"/>
  <c r="BE50" i="24" s="1"/>
  <c r="CA49" i="24"/>
  <c r="CM9" i="24" s="1"/>
  <c r="BF49" i="24"/>
  <c r="BB49" i="24"/>
  <c r="AN49" i="24"/>
  <c r="BE49" i="24" s="1"/>
  <c r="BF48" i="24"/>
  <c r="BB48" i="24"/>
  <c r="AN48" i="24"/>
  <c r="BE48" i="24" s="1"/>
  <c r="BF47" i="24"/>
  <c r="BB47" i="24"/>
  <c r="AN47" i="24"/>
  <c r="BE47" i="24" s="1"/>
  <c r="BF46" i="24"/>
  <c r="BB46" i="24"/>
  <c r="AN46" i="24"/>
  <c r="BE46" i="24" s="1"/>
  <c r="BF45" i="24"/>
  <c r="BB45" i="24"/>
  <c r="AN45" i="24"/>
  <c r="BE45" i="24" s="1"/>
  <c r="CD44" i="24"/>
  <c r="CC44" i="24"/>
  <c r="BF44" i="24"/>
  <c r="BB44" i="24"/>
  <c r="AN44" i="24"/>
  <c r="BE44" i="24" s="1"/>
  <c r="CD43" i="24"/>
  <c r="CC43" i="24"/>
  <c r="BF43" i="24"/>
  <c r="BB43" i="24"/>
  <c r="AN43" i="24"/>
  <c r="BE43" i="24" s="1"/>
  <c r="CD42" i="24"/>
  <c r="CC42" i="24"/>
  <c r="BF42" i="24"/>
  <c r="BB42" i="24"/>
  <c r="AN42" i="24"/>
  <c r="BE42" i="24" s="1"/>
  <c r="CD41" i="24"/>
  <c r="CC41" i="24"/>
  <c r="BF41" i="24"/>
  <c r="BB41" i="24"/>
  <c r="AN41" i="24"/>
  <c r="BE41" i="24" s="1"/>
  <c r="CD40" i="24"/>
  <c r="CC40" i="24"/>
  <c r="BF40" i="24"/>
  <c r="BB40" i="24"/>
  <c r="AN40" i="24"/>
  <c r="BE40" i="24" s="1"/>
  <c r="CD39" i="24"/>
  <c r="CC39" i="24"/>
  <c r="BF39" i="24"/>
  <c r="BB39" i="24"/>
  <c r="AN39" i="24"/>
  <c r="BE39" i="24" s="1"/>
  <c r="CA38" i="24"/>
  <c r="CM8" i="24" s="1"/>
  <c r="BF38" i="24"/>
  <c r="BB38" i="24"/>
  <c r="AN38" i="24"/>
  <c r="BE38" i="24" s="1"/>
  <c r="BF37" i="24"/>
  <c r="BB37" i="24"/>
  <c r="AN37" i="24"/>
  <c r="BE37" i="24" s="1"/>
  <c r="BF36" i="24"/>
  <c r="BB36" i="24"/>
  <c r="AN36" i="24"/>
  <c r="BE36" i="24" s="1"/>
  <c r="CE35" i="24"/>
  <c r="BF35" i="24"/>
  <c r="BB35" i="24"/>
  <c r="AN35" i="24"/>
  <c r="BE35" i="24" s="1"/>
  <c r="BF34" i="24"/>
  <c r="BB34" i="24"/>
  <c r="AN34" i="24"/>
  <c r="BE34" i="24" s="1"/>
  <c r="CD33" i="24"/>
  <c r="CC33" i="24"/>
  <c r="BF33" i="24"/>
  <c r="BB33" i="24"/>
  <c r="AN33" i="24"/>
  <c r="BE33" i="24" s="1"/>
  <c r="CD32" i="24"/>
  <c r="CC32" i="24"/>
  <c r="BF32" i="24"/>
  <c r="BB32" i="24"/>
  <c r="AN32" i="24"/>
  <c r="BE32" i="24" s="1"/>
  <c r="CD31" i="24"/>
  <c r="CC31" i="24"/>
  <c r="BF31" i="24"/>
  <c r="BB31" i="24"/>
  <c r="AN31" i="24"/>
  <c r="BE31" i="24" s="1"/>
  <c r="CD30" i="24"/>
  <c r="CC30" i="24"/>
  <c r="BF30" i="24"/>
  <c r="BB30" i="24"/>
  <c r="AN30" i="24"/>
  <c r="BE30" i="24" s="1"/>
  <c r="DO29" i="24"/>
  <c r="DQ29" i="24" s="1"/>
  <c r="CD29" i="24"/>
  <c r="CC29" i="24"/>
  <c r="BF29" i="24"/>
  <c r="BB29" i="24"/>
  <c r="AN29" i="24"/>
  <c r="BE29" i="24" s="1"/>
  <c r="DO28" i="24"/>
  <c r="DQ28" i="24" s="1"/>
  <c r="CD28" i="24"/>
  <c r="CC28" i="24"/>
  <c r="BF28" i="24"/>
  <c r="BB28" i="24"/>
  <c r="AN28" i="24"/>
  <c r="BE28" i="24" s="1"/>
  <c r="DO27" i="24"/>
  <c r="DQ27" i="24" s="1"/>
  <c r="CA27" i="24"/>
  <c r="CM7" i="24" s="1"/>
  <c r="BF27" i="24"/>
  <c r="BB27" i="24"/>
  <c r="AN27" i="24"/>
  <c r="BE27" i="24" s="1"/>
  <c r="DO26" i="24"/>
  <c r="DQ26" i="24" s="1"/>
  <c r="BF26" i="24"/>
  <c r="BB26" i="24"/>
  <c r="AN26" i="24"/>
  <c r="BE26" i="24" s="1"/>
  <c r="DO25" i="24"/>
  <c r="DQ25" i="24" s="1"/>
  <c r="BF25" i="24"/>
  <c r="BB25" i="24"/>
  <c r="AN25" i="24"/>
  <c r="BE25" i="24" s="1"/>
  <c r="DO24" i="24"/>
  <c r="DQ24" i="24" s="1"/>
  <c r="CE24" i="24"/>
  <c r="BF24" i="24"/>
  <c r="BB24" i="24"/>
  <c r="AN24" i="24"/>
  <c r="BE24" i="24" s="1"/>
  <c r="DO23" i="24"/>
  <c r="DQ23" i="24" s="1"/>
  <c r="BF23" i="24"/>
  <c r="BB23" i="24"/>
  <c r="AN23" i="24"/>
  <c r="BE23" i="24" s="1"/>
  <c r="EB22" i="24"/>
  <c r="DO22" i="24"/>
  <c r="DQ22" i="24" s="1"/>
  <c r="CF22" i="24"/>
  <c r="CD22" i="24"/>
  <c r="CC22" i="24"/>
  <c r="BF22" i="24"/>
  <c r="BB22" i="24"/>
  <c r="AN22" i="24"/>
  <c r="BE22" i="24" s="1"/>
  <c r="DO21" i="24"/>
  <c r="DQ21" i="24" s="1"/>
  <c r="CD21" i="24"/>
  <c r="CC21" i="24"/>
  <c r="BF21" i="24"/>
  <c r="BB21" i="24"/>
  <c r="AN21" i="24"/>
  <c r="BE21" i="24" s="1"/>
  <c r="DO20" i="24"/>
  <c r="DQ20" i="24" s="1"/>
  <c r="CD20" i="24"/>
  <c r="CC20" i="24"/>
  <c r="BF20" i="24"/>
  <c r="BB20" i="24"/>
  <c r="AN20" i="24"/>
  <c r="BE20" i="24" s="1"/>
  <c r="DO19" i="24"/>
  <c r="DQ19" i="24" s="1"/>
  <c r="DB19" i="24"/>
  <c r="EB16" i="24" s="1"/>
  <c r="CD19" i="24"/>
  <c r="CC19" i="24"/>
  <c r="BF19" i="24"/>
  <c r="BB19" i="24"/>
  <c r="AN19" i="24"/>
  <c r="BE19" i="24" s="1"/>
  <c r="DO18" i="24"/>
  <c r="DQ18" i="24" s="1"/>
  <c r="DB18" i="24"/>
  <c r="CD18" i="24"/>
  <c r="CC18" i="24"/>
  <c r="BF18" i="24"/>
  <c r="BB18" i="24"/>
  <c r="AN18" i="24"/>
  <c r="BE18" i="24" s="1"/>
  <c r="DO17" i="24"/>
  <c r="DQ17" i="24" s="1"/>
  <c r="DB17" i="24"/>
  <c r="CF17" i="24"/>
  <c r="CD17" i="24"/>
  <c r="CC17" i="24"/>
  <c r="BF17" i="24"/>
  <c r="BB17" i="24"/>
  <c r="AN17" i="24"/>
  <c r="BE17" i="24" s="1"/>
  <c r="DO16" i="24"/>
  <c r="DQ16" i="24" s="1"/>
  <c r="DB16" i="24"/>
  <c r="CA16" i="24"/>
  <c r="BF16" i="24"/>
  <c r="BB16" i="24"/>
  <c r="AN16" i="24"/>
  <c r="BE16" i="24" s="1"/>
  <c r="DO15" i="24"/>
  <c r="DQ15" i="24" s="1"/>
  <c r="DB15" i="24"/>
  <c r="BF15" i="24"/>
  <c r="BB15" i="24"/>
  <c r="AN15" i="24"/>
  <c r="BE15" i="24" s="1"/>
  <c r="DO14" i="24"/>
  <c r="DQ14" i="24" s="1"/>
  <c r="DB14" i="24"/>
  <c r="BF14" i="24"/>
  <c r="BB14" i="24"/>
  <c r="AN14" i="24"/>
  <c r="BE14" i="24" s="1"/>
  <c r="EB13" i="24"/>
  <c r="DO13" i="24"/>
  <c r="DQ13" i="24" s="1"/>
  <c r="DB13" i="24"/>
  <c r="CE13" i="24"/>
  <c r="CF10" i="24" s="1"/>
  <c r="BF13" i="24"/>
  <c r="BB13" i="24"/>
  <c r="AN13" i="24"/>
  <c r="BE13" i="24" s="1"/>
  <c r="DO12" i="24"/>
  <c r="DQ12" i="24" s="1"/>
  <c r="DB12" i="24"/>
  <c r="BF12" i="24"/>
  <c r="BB12" i="24"/>
  <c r="AN12" i="24"/>
  <c r="BE12" i="24" s="1"/>
  <c r="DO11" i="24"/>
  <c r="DQ11" i="24" s="1"/>
  <c r="DB11" i="24"/>
  <c r="CD11" i="24"/>
  <c r="CC11" i="24"/>
  <c r="BU11" i="24"/>
  <c r="BT11" i="24"/>
  <c r="BS11" i="24"/>
  <c r="BR11" i="24"/>
  <c r="BQ11" i="24"/>
  <c r="BF11" i="24"/>
  <c r="BB11" i="24"/>
  <c r="AN11" i="24"/>
  <c r="BE11" i="24" s="1"/>
  <c r="DO10" i="24"/>
  <c r="DQ10" i="24" s="1"/>
  <c r="DB10" i="24"/>
  <c r="CD10" i="24"/>
  <c r="CC10" i="24"/>
  <c r="BS10" i="24"/>
  <c r="BT10" i="24" s="1"/>
  <c r="BU10" i="24" s="1"/>
  <c r="BR10" i="24"/>
  <c r="BQ10" i="24"/>
  <c r="CN8" i="24" s="1"/>
  <c r="BF10" i="24"/>
  <c r="BB10" i="24"/>
  <c r="AN10" i="24"/>
  <c r="BE10" i="24" s="1"/>
  <c r="DZ9" i="24"/>
  <c r="DS9" i="24"/>
  <c r="DO9" i="24"/>
  <c r="DQ9" i="24" s="1"/>
  <c r="DB9" i="24"/>
  <c r="CP9" i="24"/>
  <c r="CN9" i="24"/>
  <c r="CD9" i="24"/>
  <c r="CC9" i="24"/>
  <c r="BS9" i="24"/>
  <c r="BR9" i="24"/>
  <c r="BQ9" i="24"/>
  <c r="CN7" i="24" s="1"/>
  <c r="BF9" i="24"/>
  <c r="BB9" i="24"/>
  <c r="AN9" i="24"/>
  <c r="BE9" i="24" s="1"/>
  <c r="DS8" i="24"/>
  <c r="DO8" i="24"/>
  <c r="DQ8" i="24" s="1"/>
  <c r="DB8" i="24"/>
  <c r="CP8" i="24"/>
  <c r="CF8" i="24"/>
  <c r="CD8" i="24"/>
  <c r="CC8" i="24"/>
  <c r="BS8" i="24"/>
  <c r="BR8" i="24"/>
  <c r="BQ8" i="24"/>
  <c r="CN6" i="24" s="1"/>
  <c r="BF8" i="24"/>
  <c r="BB8" i="24"/>
  <c r="AN8" i="24"/>
  <c r="BE8" i="24" s="1"/>
  <c r="DS7" i="24"/>
  <c r="DO7" i="24"/>
  <c r="DQ7" i="24" s="1"/>
  <c r="DB7" i="24"/>
  <c r="CP7" i="24"/>
  <c r="CD7" i="24"/>
  <c r="CC7" i="24"/>
  <c r="BS7" i="24"/>
  <c r="BR7" i="24"/>
  <c r="BQ7" i="24"/>
  <c r="CN5" i="24" s="1"/>
  <c r="BF7" i="24"/>
  <c r="BB7" i="24"/>
  <c r="AY7" i="24"/>
  <c r="AN7" i="24"/>
  <c r="BE7" i="24" s="1"/>
  <c r="DS6" i="24"/>
  <c r="DO6" i="24"/>
  <c r="DQ6" i="24" s="1"/>
  <c r="DB6" i="24"/>
  <c r="CP6" i="24"/>
  <c r="CM6" i="24"/>
  <c r="CF6" i="24"/>
  <c r="CD6" i="24"/>
  <c r="CC6" i="24"/>
  <c r="BF6" i="24"/>
  <c r="BB6" i="24"/>
  <c r="AN6" i="24"/>
  <c r="BE6" i="24" s="1"/>
  <c r="DS5" i="24"/>
  <c r="DO5" i="24"/>
  <c r="DQ5" i="24" s="1"/>
  <c r="DB5" i="24"/>
  <c r="CA5" i="24"/>
  <c r="CM5" i="24" s="1"/>
  <c r="O5" i="24"/>
  <c r="BB4" i="24"/>
  <c r="BA4" i="24"/>
  <c r="BA8" i="24" s="1"/>
  <c r="AY4" i="24"/>
  <c r="AY9" i="24" s="1"/>
  <c r="AW4" i="24"/>
  <c r="AW35" i="24" s="1"/>
  <c r="AU4" i="24"/>
  <c r="BQ2" i="24"/>
  <c r="AQ120" i="22"/>
  <c r="AQ116" i="22"/>
  <c r="AQ113" i="22"/>
  <c r="AQ109" i="22"/>
  <c r="CB61" i="22"/>
  <c r="AZ58" i="22"/>
  <c r="AX58" i="22"/>
  <c r="AV58" i="22"/>
  <c r="AS58" i="22"/>
  <c r="AZ57" i="22"/>
  <c r="AX57" i="22"/>
  <c r="AV57" i="22"/>
  <c r="AS57" i="22"/>
  <c r="AZ56" i="22"/>
  <c r="EB18" i="22" s="1"/>
  <c r="AX56" i="22"/>
  <c r="AV56" i="22"/>
  <c r="AS56" i="22"/>
  <c r="AR56" i="22"/>
  <c r="CD55" i="22"/>
  <c r="CC55" i="22"/>
  <c r="BF55" i="22"/>
  <c r="BB55" i="22"/>
  <c r="AN55" i="22"/>
  <c r="BE55" i="22" s="1"/>
  <c r="CD54" i="22"/>
  <c r="CC54" i="22"/>
  <c r="BF54" i="22"/>
  <c r="BB54" i="22"/>
  <c r="AN54" i="22"/>
  <c r="BE54" i="22" s="1"/>
  <c r="CD53" i="22"/>
  <c r="CC53" i="22"/>
  <c r="BF53" i="22"/>
  <c r="BB53" i="22"/>
  <c r="AN53" i="22"/>
  <c r="BE53" i="22" s="1"/>
  <c r="CD52" i="22"/>
  <c r="CC52" i="22"/>
  <c r="BF52" i="22"/>
  <c r="BB52" i="22"/>
  <c r="AN52" i="22"/>
  <c r="BE52" i="22" s="1"/>
  <c r="CD51" i="22"/>
  <c r="CC51" i="22"/>
  <c r="BF51" i="22"/>
  <c r="BB51" i="22"/>
  <c r="AN51" i="22"/>
  <c r="BE51" i="22" s="1"/>
  <c r="CD50" i="22"/>
  <c r="CC50" i="22"/>
  <c r="BF50" i="22"/>
  <c r="BB50" i="22"/>
  <c r="AN50" i="22"/>
  <c r="BE50" i="22" s="1"/>
  <c r="CA49" i="22"/>
  <c r="CM9" i="22" s="1"/>
  <c r="BF49" i="22"/>
  <c r="BB49" i="22"/>
  <c r="AN49" i="22"/>
  <c r="BE49" i="22" s="1"/>
  <c r="BF48" i="22"/>
  <c r="BB48" i="22"/>
  <c r="AN48" i="22"/>
  <c r="BE48" i="22" s="1"/>
  <c r="BF47" i="22"/>
  <c r="BB47" i="22"/>
  <c r="AN47" i="22"/>
  <c r="BE47" i="22" s="1"/>
  <c r="BF46" i="22"/>
  <c r="BB46" i="22"/>
  <c r="AN46" i="22"/>
  <c r="BE46" i="22" s="1"/>
  <c r="BF45" i="22"/>
  <c r="BB45" i="22"/>
  <c r="AN45" i="22"/>
  <c r="BE45" i="22" s="1"/>
  <c r="CD44" i="22"/>
  <c r="CC44" i="22"/>
  <c r="BF44" i="22"/>
  <c r="BB44" i="22"/>
  <c r="AN44" i="22"/>
  <c r="BE44" i="22" s="1"/>
  <c r="CD43" i="22"/>
  <c r="CC43" i="22"/>
  <c r="BF43" i="22"/>
  <c r="BB43" i="22"/>
  <c r="AN43" i="22"/>
  <c r="BE43" i="22" s="1"/>
  <c r="CD42" i="22"/>
  <c r="CC42" i="22"/>
  <c r="BF42" i="22"/>
  <c r="BB42" i="22"/>
  <c r="AN42" i="22"/>
  <c r="BE42" i="22" s="1"/>
  <c r="CD41" i="22"/>
  <c r="CC41" i="22"/>
  <c r="BF41" i="22"/>
  <c r="BB41" i="22"/>
  <c r="AN41" i="22"/>
  <c r="BE41" i="22" s="1"/>
  <c r="CD40" i="22"/>
  <c r="CC40" i="22"/>
  <c r="BF40" i="22"/>
  <c r="BB40" i="22"/>
  <c r="AN40" i="22"/>
  <c r="BE40" i="22" s="1"/>
  <c r="CD39" i="22"/>
  <c r="CC39" i="22"/>
  <c r="BF39" i="22"/>
  <c r="BB39" i="22"/>
  <c r="AN39" i="22"/>
  <c r="BE39" i="22" s="1"/>
  <c r="CA38" i="22"/>
  <c r="CM8" i="22" s="1"/>
  <c r="BF38" i="22"/>
  <c r="BB38" i="22"/>
  <c r="AN38" i="22"/>
  <c r="BE38" i="22" s="1"/>
  <c r="BF37" i="22"/>
  <c r="BB37" i="22"/>
  <c r="AN37" i="22"/>
  <c r="BE37" i="22" s="1"/>
  <c r="BF36" i="22"/>
  <c r="BB36" i="22"/>
  <c r="AN36" i="22"/>
  <c r="BE36" i="22" s="1"/>
  <c r="CE35" i="22"/>
  <c r="CP7" i="22" s="1"/>
  <c r="BF35" i="22"/>
  <c r="BB35" i="22"/>
  <c r="AN35" i="22"/>
  <c r="BE35" i="22" s="1"/>
  <c r="BF34" i="22"/>
  <c r="BB34" i="22"/>
  <c r="AN34" i="22"/>
  <c r="BE34" i="22" s="1"/>
  <c r="CD33" i="22"/>
  <c r="CC33" i="22"/>
  <c r="BF33" i="22"/>
  <c r="BB33" i="22"/>
  <c r="AN33" i="22"/>
  <c r="BE33" i="22" s="1"/>
  <c r="CD32" i="22"/>
  <c r="CC32" i="22"/>
  <c r="BF32" i="22"/>
  <c r="BB32" i="22"/>
  <c r="AN32" i="22"/>
  <c r="BE32" i="22" s="1"/>
  <c r="CD31" i="22"/>
  <c r="CC31" i="22"/>
  <c r="BF31" i="22"/>
  <c r="BB31" i="22"/>
  <c r="AN31" i="22"/>
  <c r="BE31" i="22" s="1"/>
  <c r="CD30" i="22"/>
  <c r="CC30" i="22"/>
  <c r="BF30" i="22"/>
  <c r="BB30" i="22"/>
  <c r="AN30" i="22"/>
  <c r="BE30" i="22" s="1"/>
  <c r="DO29" i="22"/>
  <c r="DQ29" i="22" s="1"/>
  <c r="CD29" i="22"/>
  <c r="CC29" i="22"/>
  <c r="BF29" i="22"/>
  <c r="BB29" i="22"/>
  <c r="AN29" i="22"/>
  <c r="BE29" i="22" s="1"/>
  <c r="DO28" i="22"/>
  <c r="DQ28" i="22" s="1"/>
  <c r="CD28" i="22"/>
  <c r="CC28" i="22"/>
  <c r="BF28" i="22"/>
  <c r="BB28" i="22"/>
  <c r="AN28" i="22"/>
  <c r="BE28" i="22" s="1"/>
  <c r="DO27" i="22"/>
  <c r="DQ27" i="22" s="1"/>
  <c r="CA27" i="22"/>
  <c r="CM7" i="22" s="1"/>
  <c r="BF27" i="22"/>
  <c r="BB27" i="22"/>
  <c r="AN27" i="22"/>
  <c r="BE27" i="22" s="1"/>
  <c r="DO26" i="22"/>
  <c r="DQ26" i="22" s="1"/>
  <c r="BF26" i="22"/>
  <c r="BB26" i="22"/>
  <c r="AN26" i="22"/>
  <c r="BE26" i="22" s="1"/>
  <c r="DO25" i="22"/>
  <c r="DQ25" i="22" s="1"/>
  <c r="BF25" i="22"/>
  <c r="BB25" i="22"/>
  <c r="AN25" i="22"/>
  <c r="BE25" i="22" s="1"/>
  <c r="DO24" i="22"/>
  <c r="DQ24" i="22" s="1"/>
  <c r="CE24" i="22"/>
  <c r="BF24" i="22"/>
  <c r="BB24" i="22"/>
  <c r="AN24" i="22"/>
  <c r="BE24" i="22" s="1"/>
  <c r="DO23" i="22"/>
  <c r="DQ23" i="22" s="1"/>
  <c r="BF23" i="22"/>
  <c r="BB23" i="22"/>
  <c r="AN23" i="22"/>
  <c r="BE23" i="22" s="1"/>
  <c r="EB22" i="22"/>
  <c r="DO22" i="22"/>
  <c r="DQ22" i="22" s="1"/>
  <c r="CD22" i="22"/>
  <c r="CC22" i="22"/>
  <c r="BF22" i="22"/>
  <c r="BB22" i="22"/>
  <c r="AN22" i="22"/>
  <c r="BE22" i="22" s="1"/>
  <c r="DO21" i="22"/>
  <c r="DQ21" i="22" s="1"/>
  <c r="CD21" i="22"/>
  <c r="CC21" i="22"/>
  <c r="BF21" i="22"/>
  <c r="BB21" i="22"/>
  <c r="AN21" i="22"/>
  <c r="BE21" i="22" s="1"/>
  <c r="DO20" i="22"/>
  <c r="DQ20" i="22" s="1"/>
  <c r="CD20" i="22"/>
  <c r="CC20" i="22"/>
  <c r="BF20" i="22"/>
  <c r="BB20" i="22"/>
  <c r="AN20" i="22"/>
  <c r="BE20" i="22" s="1"/>
  <c r="DO19" i="22"/>
  <c r="DQ19" i="22" s="1"/>
  <c r="DB19" i="22"/>
  <c r="CD19" i="22"/>
  <c r="CC19" i="22"/>
  <c r="BF19" i="22"/>
  <c r="BB19" i="22"/>
  <c r="AN19" i="22"/>
  <c r="BE19" i="22" s="1"/>
  <c r="DO18" i="22"/>
  <c r="DQ18" i="22" s="1"/>
  <c r="DB18" i="22"/>
  <c r="CD18" i="22"/>
  <c r="CC18" i="22"/>
  <c r="BF18" i="22"/>
  <c r="BB18" i="22"/>
  <c r="AN18" i="22"/>
  <c r="BE18" i="22" s="1"/>
  <c r="DO17" i="22"/>
  <c r="DQ17" i="22" s="1"/>
  <c r="DB17" i="22"/>
  <c r="CD17" i="22"/>
  <c r="CC17" i="22"/>
  <c r="BF17" i="22"/>
  <c r="BB17" i="22"/>
  <c r="AN17" i="22"/>
  <c r="BE17" i="22" s="1"/>
  <c r="EB16" i="22"/>
  <c r="DO16" i="22"/>
  <c r="DQ16" i="22" s="1"/>
  <c r="DB16" i="22"/>
  <c r="CA16" i="22"/>
  <c r="BF16" i="22"/>
  <c r="BB16" i="22"/>
  <c r="AN16" i="22"/>
  <c r="BE16" i="22" s="1"/>
  <c r="DO15" i="22"/>
  <c r="DQ15" i="22" s="1"/>
  <c r="DB15" i="22"/>
  <c r="BF15" i="22"/>
  <c r="BB15" i="22"/>
  <c r="AN15" i="22"/>
  <c r="BE15" i="22" s="1"/>
  <c r="DO14" i="22"/>
  <c r="DQ14" i="22" s="1"/>
  <c r="DB14" i="22"/>
  <c r="BF14" i="22"/>
  <c r="BB14" i="22"/>
  <c r="AN14" i="22"/>
  <c r="BE14" i="22" s="1"/>
  <c r="EB13" i="22"/>
  <c r="DO13" i="22"/>
  <c r="DQ13" i="22" s="1"/>
  <c r="DB13" i="22"/>
  <c r="CE13" i="22"/>
  <c r="CF10" i="22" s="1"/>
  <c r="BF13" i="22"/>
  <c r="BB13" i="22"/>
  <c r="AN13" i="22"/>
  <c r="BE13" i="22" s="1"/>
  <c r="DO12" i="22"/>
  <c r="DQ12" i="22" s="1"/>
  <c r="DB12" i="22"/>
  <c r="BF12" i="22"/>
  <c r="BB12" i="22"/>
  <c r="AN12" i="22"/>
  <c r="BE12" i="22" s="1"/>
  <c r="DO11" i="22"/>
  <c r="DQ11" i="22" s="1"/>
  <c r="DB11" i="22"/>
  <c r="CD11" i="22"/>
  <c r="CC11" i="22"/>
  <c r="BU11" i="22"/>
  <c r="BT11" i="22"/>
  <c r="BS11" i="22"/>
  <c r="BR11" i="22"/>
  <c r="BQ11" i="22"/>
  <c r="BF11" i="22"/>
  <c r="BB11" i="22"/>
  <c r="AN11" i="22"/>
  <c r="BE11" i="22" s="1"/>
  <c r="DO10" i="22"/>
  <c r="DQ10" i="22" s="1"/>
  <c r="DB10" i="22"/>
  <c r="CD10" i="22"/>
  <c r="CC10" i="22"/>
  <c r="BS10" i="22"/>
  <c r="BT10" i="22" s="1"/>
  <c r="BR10" i="22"/>
  <c r="BQ10" i="22"/>
  <c r="CN8" i="22" s="1"/>
  <c r="BF10" i="22"/>
  <c r="BB10" i="22"/>
  <c r="AN10" i="22"/>
  <c r="BE10" i="22" s="1"/>
  <c r="DZ9" i="22"/>
  <c r="DS9" i="22"/>
  <c r="DO9" i="22"/>
  <c r="DQ9" i="22" s="1"/>
  <c r="DB9" i="22"/>
  <c r="CP9" i="22"/>
  <c r="CN9" i="22"/>
  <c r="CD9" i="22"/>
  <c r="CC9" i="22"/>
  <c r="BS9" i="22"/>
  <c r="BR9" i="22"/>
  <c r="BQ9" i="22"/>
  <c r="CN7" i="22" s="1"/>
  <c r="BF9" i="22"/>
  <c r="BB9" i="22"/>
  <c r="AN9" i="22"/>
  <c r="BE9" i="22" s="1"/>
  <c r="DS8" i="22"/>
  <c r="DO8" i="22"/>
  <c r="DQ8" i="22" s="1"/>
  <c r="DB8" i="22"/>
  <c r="CD8" i="22"/>
  <c r="CC8" i="22"/>
  <c r="BS8" i="22"/>
  <c r="BR8" i="22"/>
  <c r="BQ8" i="22"/>
  <c r="CN6" i="22" s="1"/>
  <c r="BF8" i="22"/>
  <c r="BB8" i="22"/>
  <c r="AN8" i="22"/>
  <c r="BE8" i="22" s="1"/>
  <c r="DS7" i="22"/>
  <c r="DO7" i="22"/>
  <c r="DQ7" i="22" s="1"/>
  <c r="DB7" i="22"/>
  <c r="CD7" i="22"/>
  <c r="CC7" i="22"/>
  <c r="BS7" i="22"/>
  <c r="BR7" i="22"/>
  <c r="BQ7" i="22"/>
  <c r="CN5" i="22" s="1"/>
  <c r="BF7" i="22"/>
  <c r="BB7" i="22"/>
  <c r="AN7" i="22"/>
  <c r="BE7" i="22" s="1"/>
  <c r="DS6" i="22"/>
  <c r="DO6" i="22"/>
  <c r="DQ6" i="22" s="1"/>
  <c r="DB6" i="22"/>
  <c r="CM6" i="22"/>
  <c r="CD6" i="22"/>
  <c r="CC6" i="22"/>
  <c r="BF6" i="22"/>
  <c r="BB6" i="22"/>
  <c r="AN6" i="22"/>
  <c r="DS5" i="22"/>
  <c r="DO5" i="22"/>
  <c r="DQ5" i="22" s="1"/>
  <c r="DB5" i="22"/>
  <c r="CA5" i="22"/>
  <c r="CM5" i="22" s="1"/>
  <c r="O7" i="22"/>
  <c r="BB4" i="22"/>
  <c r="BA4" i="22"/>
  <c r="BA38" i="22" s="1"/>
  <c r="AY4" i="22"/>
  <c r="AY45" i="22" s="1"/>
  <c r="AW4" i="22"/>
  <c r="AW35" i="22" s="1"/>
  <c r="AU4" i="22"/>
  <c r="BQ2" i="22"/>
  <c r="BT8" i="23" l="1"/>
  <c r="BU8" i="23" s="1"/>
  <c r="AC15" i="24"/>
  <c r="M15" i="21" s="1"/>
  <c r="AC15" i="22"/>
  <c r="K15" i="21" s="1"/>
  <c r="X9" i="25"/>
  <c r="Y9" i="25" s="1"/>
  <c r="N4" i="21"/>
  <c r="X14" i="24"/>
  <c r="Y14" i="24" s="1"/>
  <c r="DZ12" i="24"/>
  <c r="AD9" i="24"/>
  <c r="AE9" i="24" s="1"/>
  <c r="R15" i="24"/>
  <c r="V15" i="24" s="1"/>
  <c r="M3" i="21" s="1"/>
  <c r="M5" i="21" s="1"/>
  <c r="Y5" i="24"/>
  <c r="Y15" i="24" s="1"/>
  <c r="X15" i="24"/>
  <c r="AD5" i="24"/>
  <c r="AD12" i="24"/>
  <c r="AE12" i="24" s="1"/>
  <c r="O7" i="23"/>
  <c r="AD14" i="23"/>
  <c r="AE14" i="23" s="1"/>
  <c r="AD7" i="22"/>
  <c r="AE7" i="22" s="1"/>
  <c r="AD10" i="22"/>
  <c r="AE10" i="22" s="1"/>
  <c r="K14" i="21"/>
  <c r="Y5" i="22"/>
  <c r="Y15" i="22" s="1"/>
  <c r="X14" i="22"/>
  <c r="Y14" i="22" s="1"/>
  <c r="AD6" i="22"/>
  <c r="AE6" i="22" s="1"/>
  <c r="AD13" i="22"/>
  <c r="AE13" i="22" s="1"/>
  <c r="AD8" i="22"/>
  <c r="AE8" i="22" s="1"/>
  <c r="V15" i="22"/>
  <c r="K3" i="21" s="1"/>
  <c r="K5" i="21" s="1"/>
  <c r="R15" i="22"/>
  <c r="CG24" i="22" s="1"/>
  <c r="CO6" i="22" s="1"/>
  <c r="AD12" i="22"/>
  <c r="AE12" i="22" s="1"/>
  <c r="AD7" i="25"/>
  <c r="AE7" i="25" s="1"/>
  <c r="AW6" i="25"/>
  <c r="CF18" i="25"/>
  <c r="AS60" i="25"/>
  <c r="CF17" i="25"/>
  <c r="AW51" i="25"/>
  <c r="AC15" i="25"/>
  <c r="CF19" i="25"/>
  <c r="BA7" i="24"/>
  <c r="CF9" i="24"/>
  <c r="EB18" i="24"/>
  <c r="CF6" i="23"/>
  <c r="BA12" i="23"/>
  <c r="AY27" i="23"/>
  <c r="AY35" i="23"/>
  <c r="BA43" i="23"/>
  <c r="BA47" i="23"/>
  <c r="BA55" i="23"/>
  <c r="AW9" i="23"/>
  <c r="BA30" i="23"/>
  <c r="AW38" i="23"/>
  <c r="AY40" i="23"/>
  <c r="AW45" i="23"/>
  <c r="O6" i="23"/>
  <c r="BA9" i="23"/>
  <c r="X11" i="23"/>
  <c r="Y11" i="23" s="1"/>
  <c r="AW16" i="23"/>
  <c r="AY38" i="23"/>
  <c r="BA40" i="23"/>
  <c r="AW52" i="23"/>
  <c r="O14" i="23"/>
  <c r="CB43" i="23"/>
  <c r="CH43" i="23" s="1"/>
  <c r="CF11" i="23"/>
  <c r="CF12" i="23"/>
  <c r="BY7" i="23" s="1"/>
  <c r="BA24" i="23"/>
  <c r="AW29" i="23"/>
  <c r="BA52" i="23"/>
  <c r="AY11" i="23"/>
  <c r="CF24" i="23"/>
  <c r="AY26" i="23"/>
  <c r="AY29" i="23"/>
  <c r="AW36" i="23"/>
  <c r="AW42" i="23"/>
  <c r="BA54" i="23"/>
  <c r="AD6" i="23"/>
  <c r="AE6" i="23" s="1"/>
  <c r="CF8" i="23"/>
  <c r="CF13" i="23" s="1"/>
  <c r="BA11" i="23"/>
  <c r="AW15" i="23"/>
  <c r="AW20" i="23"/>
  <c r="AW34" i="23"/>
  <c r="AY36" i="23"/>
  <c r="BY10" i="23"/>
  <c r="DZ12" i="23"/>
  <c r="AW8" i="23"/>
  <c r="AY15" i="23"/>
  <c r="AY19" i="23"/>
  <c r="AW28" i="23"/>
  <c r="AW44" i="23"/>
  <c r="BA19" i="23"/>
  <c r="AY23" i="23"/>
  <c r="BA28" i="23"/>
  <c r="AW39" i="23"/>
  <c r="AY44" i="23"/>
  <c r="AY49" i="23"/>
  <c r="CF7" i="23"/>
  <c r="BQ12" i="23"/>
  <c r="BA23" i="23"/>
  <c r="AW31" i="23"/>
  <c r="BA49" i="23"/>
  <c r="BA51" i="23"/>
  <c r="EB18" i="23"/>
  <c r="AW7" i="23"/>
  <c r="CF10" i="23"/>
  <c r="AW13" i="23"/>
  <c r="BA14" i="23"/>
  <c r="AW17" i="23"/>
  <c r="BA22" i="23"/>
  <c r="AW25" i="23"/>
  <c r="CF35" i="23"/>
  <c r="AW33" i="23"/>
  <c r="BA37" i="23"/>
  <c r="AW41" i="23"/>
  <c r="AW55" i="23"/>
  <c r="O8" i="22"/>
  <c r="BA7" i="22"/>
  <c r="AQ121" i="22"/>
  <c r="AW39" i="22"/>
  <c r="BA8" i="22"/>
  <c r="CB50" i="22"/>
  <c r="BA39" i="22"/>
  <c r="BA52" i="22"/>
  <c r="AW18" i="22"/>
  <c r="O5" i="22"/>
  <c r="BA47" i="22"/>
  <c r="AW10" i="22"/>
  <c r="BA17" i="22"/>
  <c r="BA10" i="22"/>
  <c r="AW45" i="22"/>
  <c r="BA45" i="22"/>
  <c r="CF9" i="25"/>
  <c r="BT7" i="25"/>
  <c r="BU7" i="25" s="1"/>
  <c r="AD11" i="25"/>
  <c r="AE11" i="25" s="1"/>
  <c r="CF12" i="25"/>
  <c r="BY7" i="25" s="1"/>
  <c r="CF20" i="25"/>
  <c r="CF23" i="25"/>
  <c r="BY8" i="25" s="1"/>
  <c r="CF8" i="25"/>
  <c r="AY32" i="25"/>
  <c r="CO12" i="25"/>
  <c r="BF56" i="25"/>
  <c r="AW54" i="25"/>
  <c r="AY8" i="25"/>
  <c r="AW11" i="25"/>
  <c r="O13" i="25"/>
  <c r="CN10" i="25"/>
  <c r="CF7" i="25"/>
  <c r="CF6" i="25"/>
  <c r="O12" i="25"/>
  <c r="BA17" i="25"/>
  <c r="BY9" i="25"/>
  <c r="DQ30" i="25"/>
  <c r="AY7" i="25"/>
  <c r="CB53" i="25"/>
  <c r="CH53" i="25" s="1"/>
  <c r="BY11" i="25"/>
  <c r="BT8" i="25"/>
  <c r="BU8" i="25" s="1"/>
  <c r="X10" i="25"/>
  <c r="Y10" i="25" s="1"/>
  <c r="BA16" i="25"/>
  <c r="CF21" i="25"/>
  <c r="BT8" i="24"/>
  <c r="BU8" i="24" s="1"/>
  <c r="AY8" i="24"/>
  <c r="CB54" i="24"/>
  <c r="CG40" i="24"/>
  <c r="CP5" i="24"/>
  <c r="CF7" i="24"/>
  <c r="CF12" i="24"/>
  <c r="BY7" i="24" s="1"/>
  <c r="CB42" i="24"/>
  <c r="CH42" i="24" s="1"/>
  <c r="CO12" i="24"/>
  <c r="CF18" i="24"/>
  <c r="AY52" i="24"/>
  <c r="BT7" i="24"/>
  <c r="BU7" i="24" s="1"/>
  <c r="AW6" i="24"/>
  <c r="AY6" i="24"/>
  <c r="DZ6" i="24"/>
  <c r="DQ30" i="23"/>
  <c r="EB21" i="23"/>
  <c r="CB32" i="23"/>
  <c r="CH32" i="23" s="1"/>
  <c r="CB33" i="23"/>
  <c r="CH33" i="23" s="1"/>
  <c r="CB30" i="23"/>
  <c r="CH30" i="23" s="1"/>
  <c r="CB19" i="23"/>
  <c r="CH19" i="23" s="1"/>
  <c r="AD13" i="23"/>
  <c r="AE13" i="23" s="1"/>
  <c r="X13" i="23"/>
  <c r="Y13" i="23" s="1"/>
  <c r="BB56" i="23"/>
  <c r="BE6" i="23"/>
  <c r="BE56" i="23" s="1"/>
  <c r="BF56" i="23"/>
  <c r="CB29" i="23"/>
  <c r="CH29" i="23" s="1"/>
  <c r="CB40" i="23"/>
  <c r="CH40" i="23" s="1"/>
  <c r="CB18" i="23"/>
  <c r="CH18" i="23" s="1"/>
  <c r="CB41" i="23"/>
  <c r="CH41" i="23" s="1"/>
  <c r="R15" i="23"/>
  <c r="CB9" i="23"/>
  <c r="CH9" i="23" s="1"/>
  <c r="AD10" i="23"/>
  <c r="AE10" i="23" s="1"/>
  <c r="X10" i="23"/>
  <c r="Y10" i="23" s="1"/>
  <c r="CB42" i="23"/>
  <c r="CH42" i="23" s="1"/>
  <c r="CB39" i="23"/>
  <c r="CH39" i="23" s="1"/>
  <c r="CB44" i="23"/>
  <c r="CH44" i="23" s="1"/>
  <c r="Y5" i="23"/>
  <c r="X7" i="23"/>
  <c r="Y7" i="23" s="1"/>
  <c r="O11" i="23"/>
  <c r="AD7" i="23"/>
  <c r="AE7" i="23" s="1"/>
  <c r="O8" i="23"/>
  <c r="CN10" i="23"/>
  <c r="CO11" i="23" s="1"/>
  <c r="D3" i="21" s="1"/>
  <c r="X8" i="23"/>
  <c r="Y8" i="23" s="1"/>
  <c r="AD8" i="23"/>
  <c r="AE8" i="23" s="1"/>
  <c r="CB10" i="23"/>
  <c r="CH10" i="23" s="1"/>
  <c r="CB54" i="23"/>
  <c r="CH54" i="23" s="1"/>
  <c r="CB51" i="23"/>
  <c r="CH51" i="23" s="1"/>
  <c r="CB55" i="23"/>
  <c r="CH55" i="23" s="1"/>
  <c r="CB52" i="23"/>
  <c r="CH52" i="23" s="1"/>
  <c r="CB53" i="23"/>
  <c r="CH53" i="23" s="1"/>
  <c r="CB50" i="23"/>
  <c r="CH50" i="23" s="1"/>
  <c r="O9" i="23"/>
  <c r="CB28" i="23"/>
  <c r="CH28" i="23" s="1"/>
  <c r="X9" i="23"/>
  <c r="Y9" i="23" s="1"/>
  <c r="AD9" i="23"/>
  <c r="AE9" i="23" s="1"/>
  <c r="AY10" i="23"/>
  <c r="CB11" i="23"/>
  <c r="CH11" i="23" s="1"/>
  <c r="O12" i="23"/>
  <c r="AY13" i="23"/>
  <c r="AY16" i="23"/>
  <c r="AW18" i="23"/>
  <c r="CB20" i="23"/>
  <c r="CH20" i="23" s="1"/>
  <c r="BA26" i="23"/>
  <c r="CB31" i="23"/>
  <c r="CH31" i="23" s="1"/>
  <c r="AW32" i="23"/>
  <c r="BA35" i="23"/>
  <c r="AY39" i="23"/>
  <c r="AY42" i="23"/>
  <c r="AY45" i="23"/>
  <c r="AW48" i="23"/>
  <c r="CF57" i="23"/>
  <c r="AD5" i="23"/>
  <c r="CB6" i="23"/>
  <c r="CH6" i="23" s="1"/>
  <c r="BA10" i="23"/>
  <c r="AW12" i="23"/>
  <c r="BA13" i="23"/>
  <c r="BA16" i="23"/>
  <c r="AY18" i="23"/>
  <c r="CB21" i="23"/>
  <c r="CH21" i="23" s="1"/>
  <c r="AY32" i="23"/>
  <c r="BY9" i="23"/>
  <c r="BA39" i="23"/>
  <c r="BA42" i="23"/>
  <c r="BA45" i="23"/>
  <c r="AY48" i="23"/>
  <c r="AW51" i="23"/>
  <c r="AW54" i="23"/>
  <c r="BY11" i="23"/>
  <c r="CB7" i="23"/>
  <c r="CH7" i="23" s="1"/>
  <c r="CB8" i="23"/>
  <c r="CH8" i="23" s="1"/>
  <c r="AY12" i="23"/>
  <c r="CO12" i="23"/>
  <c r="BA18" i="23"/>
  <c r="AW19" i="23"/>
  <c r="CB22" i="23"/>
  <c r="CH22" i="23" s="1"/>
  <c r="BA32" i="23"/>
  <c r="BA48" i="23"/>
  <c r="AW49" i="23"/>
  <c r="AY51" i="23"/>
  <c r="AY54" i="23"/>
  <c r="AS60" i="23"/>
  <c r="AW6" i="23"/>
  <c r="BA15" i="23"/>
  <c r="CB17" i="23"/>
  <c r="CH17" i="23" s="1"/>
  <c r="AY20" i="23"/>
  <c r="AW21" i="23"/>
  <c r="BA25" i="23"/>
  <c r="BA27" i="23"/>
  <c r="AY31" i="23"/>
  <c r="AY34" i="23"/>
  <c r="BA36" i="23"/>
  <c r="BA41" i="23"/>
  <c r="BA44" i="23"/>
  <c r="AW46" i="23"/>
  <c r="AW50" i="23"/>
  <c r="AW53" i="23"/>
  <c r="AY6" i="23"/>
  <c r="AW14" i="23"/>
  <c r="BA20" i="23"/>
  <c r="AY21" i="23"/>
  <c r="AW22" i="23"/>
  <c r="AW24" i="23"/>
  <c r="BA31" i="23"/>
  <c r="BA34" i="23"/>
  <c r="AW37" i="23"/>
  <c r="AY46" i="23"/>
  <c r="AY50" i="23"/>
  <c r="AY53" i="23"/>
  <c r="BA6" i="23"/>
  <c r="AW11" i="23"/>
  <c r="AY14" i="23"/>
  <c r="BA21" i="23"/>
  <c r="AY22" i="23"/>
  <c r="AW23" i="23"/>
  <c r="AY24" i="23"/>
  <c r="AW30" i="23"/>
  <c r="AY37" i="23"/>
  <c r="AW40" i="23"/>
  <c r="AW43" i="23"/>
  <c r="BA46" i="23"/>
  <c r="BA50" i="23"/>
  <c r="BA53" i="23"/>
  <c r="AY7" i="23"/>
  <c r="AY8" i="23"/>
  <c r="AY9" i="23"/>
  <c r="O10" i="23"/>
  <c r="O13" i="23"/>
  <c r="AY17" i="23"/>
  <c r="AW26" i="23"/>
  <c r="AY28" i="23"/>
  <c r="BA29" i="23"/>
  <c r="BA33" i="23"/>
  <c r="AY47" i="23"/>
  <c r="AY52" i="23"/>
  <c r="CF12" i="22"/>
  <c r="BY7" i="22" s="1"/>
  <c r="CF6" i="22"/>
  <c r="CF11" i="22"/>
  <c r="BA28" i="22"/>
  <c r="CB54" i="22"/>
  <c r="BA13" i="22"/>
  <c r="BA26" i="22"/>
  <c r="BY9" i="22"/>
  <c r="AY42" i="22"/>
  <c r="AW51" i="22"/>
  <c r="BY11" i="22"/>
  <c r="CF9" i="22"/>
  <c r="AW48" i="22"/>
  <c r="BA9" i="22"/>
  <c r="AS60" i="22"/>
  <c r="BT7" i="22"/>
  <c r="CF8" i="22"/>
  <c r="AW12" i="22"/>
  <c r="BA42" i="22"/>
  <c r="BA55" i="22"/>
  <c r="CF7" i="22"/>
  <c r="CF19" i="22"/>
  <c r="DQ30" i="22"/>
  <c r="AW32" i="22"/>
  <c r="AY48" i="22"/>
  <c r="CF20" i="22"/>
  <c r="BA35" i="22"/>
  <c r="CB53" i="22"/>
  <c r="CH53" i="22" s="1"/>
  <c r="AW54" i="22"/>
  <c r="CP5" i="22"/>
  <c r="CF18" i="22"/>
  <c r="CP6" i="22"/>
  <c r="CO11" i="22" s="1"/>
  <c r="C3" i="21" s="1"/>
  <c r="BQ12" i="22"/>
  <c r="EB21" i="22" s="1"/>
  <c r="AW16" i="22"/>
  <c r="AW13" i="22"/>
  <c r="BA16" i="22"/>
  <c r="AW42" i="22"/>
  <c r="O9" i="25"/>
  <c r="O8" i="25"/>
  <c r="O7" i="25"/>
  <c r="X5" i="25"/>
  <c r="AY6" i="25"/>
  <c r="BA7" i="25"/>
  <c r="BA8" i="25"/>
  <c r="AY9" i="25"/>
  <c r="AD12" i="25"/>
  <c r="AE12" i="25" s="1"/>
  <c r="X13" i="25"/>
  <c r="Y13" i="25" s="1"/>
  <c r="AY26" i="25"/>
  <c r="BA28" i="25"/>
  <c r="O6" i="25"/>
  <c r="BA6" i="25"/>
  <c r="BA9" i="25"/>
  <c r="AW10" i="25"/>
  <c r="X14" i="25"/>
  <c r="Y14" i="25" s="1"/>
  <c r="CH54" i="24"/>
  <c r="AD5" i="25"/>
  <c r="BB56" i="25"/>
  <c r="AY10" i="25"/>
  <c r="O11" i="25"/>
  <c r="CP5" i="25"/>
  <c r="CF11" i="25"/>
  <c r="AY48" i="25"/>
  <c r="X6" i="25"/>
  <c r="Y6" i="25" s="1"/>
  <c r="BA10" i="25"/>
  <c r="CB41" i="25"/>
  <c r="CH41" i="25" s="1"/>
  <c r="BQ12" i="25"/>
  <c r="O10" i="25"/>
  <c r="CB44" i="25"/>
  <c r="CH44" i="25" s="1"/>
  <c r="CB50" i="25"/>
  <c r="CH50" i="25" s="1"/>
  <c r="BE56" i="25"/>
  <c r="R15" i="25"/>
  <c r="CG35" i="25" s="1"/>
  <c r="CO7" i="25" s="1"/>
  <c r="AW35" i="25"/>
  <c r="AW26" i="25"/>
  <c r="AW55" i="25"/>
  <c r="AW52" i="25"/>
  <c r="AW47" i="25"/>
  <c r="AW28" i="25"/>
  <c r="AW17" i="25"/>
  <c r="AW9" i="25"/>
  <c r="AW8" i="25"/>
  <c r="AW7" i="25"/>
  <c r="AW38" i="25"/>
  <c r="AW33" i="25"/>
  <c r="AW29" i="25"/>
  <c r="AW43" i="25"/>
  <c r="AW40" i="25"/>
  <c r="AW30" i="25"/>
  <c r="AW23" i="25"/>
  <c r="AW37" i="25"/>
  <c r="AW24" i="25"/>
  <c r="AW22" i="25"/>
  <c r="AW53" i="25"/>
  <c r="AW50" i="25"/>
  <c r="AW46" i="25"/>
  <c r="AW21" i="25"/>
  <c r="AW34" i="25"/>
  <c r="AW31" i="25"/>
  <c r="AW20" i="25"/>
  <c r="AW44" i="25"/>
  <c r="AW41" i="25"/>
  <c r="AW36" i="25"/>
  <c r="AW27" i="25"/>
  <c r="AW25" i="25"/>
  <c r="AW15" i="25"/>
  <c r="AW49" i="25"/>
  <c r="AW19" i="25"/>
  <c r="AW48" i="25"/>
  <c r="AW32" i="25"/>
  <c r="CB54" i="25"/>
  <c r="CH54" i="25" s="1"/>
  <c r="CB51" i="25"/>
  <c r="CH51" i="25" s="1"/>
  <c r="CB55" i="25"/>
  <c r="CH55" i="25" s="1"/>
  <c r="CB52" i="25"/>
  <c r="CH52" i="25" s="1"/>
  <c r="AW14" i="25"/>
  <c r="AW39" i="25"/>
  <c r="BA52" i="25"/>
  <c r="BA55" i="25"/>
  <c r="AY55" i="25"/>
  <c r="AY52" i="25"/>
  <c r="AY47" i="25"/>
  <c r="AY28" i="25"/>
  <c r="AY38" i="25"/>
  <c r="AY33" i="25"/>
  <c r="AY29" i="25"/>
  <c r="AY43" i="25"/>
  <c r="AY40" i="25"/>
  <c r="AY30" i="25"/>
  <c r="AY23" i="25"/>
  <c r="AY11" i="25"/>
  <c r="AY37" i="25"/>
  <c r="AY24" i="25"/>
  <c r="AY22" i="25"/>
  <c r="AY53" i="25"/>
  <c r="AY50" i="25"/>
  <c r="AY46" i="25"/>
  <c r="AY21" i="25"/>
  <c r="AY34" i="25"/>
  <c r="AY31" i="25"/>
  <c r="AY20" i="25"/>
  <c r="AY44" i="25"/>
  <c r="AY41" i="25"/>
  <c r="AY36" i="25"/>
  <c r="AY27" i="25"/>
  <c r="AY25" i="25"/>
  <c r="AY15" i="25"/>
  <c r="AY49" i="25"/>
  <c r="AY19" i="25"/>
  <c r="AY54" i="25"/>
  <c r="AY51" i="25"/>
  <c r="AY12" i="25"/>
  <c r="AY45" i="25"/>
  <c r="AY42" i="25"/>
  <c r="AY39" i="25"/>
  <c r="BT9" i="25"/>
  <c r="BU9" i="25" s="1"/>
  <c r="AW12" i="25"/>
  <c r="AW13" i="25"/>
  <c r="AY14" i="25"/>
  <c r="BA15" i="25"/>
  <c r="AW42" i="25"/>
  <c r="BA38" i="25"/>
  <c r="BA33" i="25"/>
  <c r="BA29" i="25"/>
  <c r="BA43" i="25"/>
  <c r="BA40" i="25"/>
  <c r="BA30" i="25"/>
  <c r="BA23" i="25"/>
  <c r="BA11" i="25"/>
  <c r="BA37" i="25"/>
  <c r="BA24" i="25"/>
  <c r="BA22" i="25"/>
  <c r="BA14" i="25"/>
  <c r="BA53" i="25"/>
  <c r="BA50" i="25"/>
  <c r="BA46" i="25"/>
  <c r="BA21" i="25"/>
  <c r="BA34" i="25"/>
  <c r="BA31" i="25"/>
  <c r="BA20" i="25"/>
  <c r="BA44" i="25"/>
  <c r="BA41" i="25"/>
  <c r="BA36" i="25"/>
  <c r="BA27" i="25"/>
  <c r="BA25" i="25"/>
  <c r="BA49" i="25"/>
  <c r="BA19" i="25"/>
  <c r="BA54" i="25"/>
  <c r="BA51" i="25"/>
  <c r="BA12" i="25"/>
  <c r="BA48" i="25"/>
  <c r="BA32" i="25"/>
  <c r="BA18" i="25"/>
  <c r="BA35" i="25"/>
  <c r="BA26" i="25"/>
  <c r="AY13" i="25"/>
  <c r="AW16" i="25"/>
  <c r="BA42" i="25"/>
  <c r="AW45" i="25"/>
  <c r="BA47" i="25"/>
  <c r="CB42" i="25"/>
  <c r="CH42" i="25" s="1"/>
  <c r="BA13" i="25"/>
  <c r="O14" i="25"/>
  <c r="AY16" i="25"/>
  <c r="AY17" i="25"/>
  <c r="AY35" i="25"/>
  <c r="BA45" i="25"/>
  <c r="CF35" i="25"/>
  <c r="CB40" i="25"/>
  <c r="CH40" i="25" s="1"/>
  <c r="CB43" i="25"/>
  <c r="CH43" i="25" s="1"/>
  <c r="CB39" i="25"/>
  <c r="CH39" i="25" s="1"/>
  <c r="BY10" i="25"/>
  <c r="CG45" i="24"/>
  <c r="CG28" i="24"/>
  <c r="EB19" i="24"/>
  <c r="CG17" i="24"/>
  <c r="CG30" i="24"/>
  <c r="CG53" i="24"/>
  <c r="CG54" i="24"/>
  <c r="CG51" i="24"/>
  <c r="CG32" i="24"/>
  <c r="CG18" i="24"/>
  <c r="CG8" i="24"/>
  <c r="BE56" i="24"/>
  <c r="BA43" i="24"/>
  <c r="BA40" i="24"/>
  <c r="BA30" i="24"/>
  <c r="BA23" i="24"/>
  <c r="BA11" i="24"/>
  <c r="BA37" i="24"/>
  <c r="BA24" i="24"/>
  <c r="BA22" i="24"/>
  <c r="BA14" i="24"/>
  <c r="BA53" i="24"/>
  <c r="BA50" i="24"/>
  <c r="BA46" i="24"/>
  <c r="BA21" i="24"/>
  <c r="BA34" i="24"/>
  <c r="BA31" i="24"/>
  <c r="BA20" i="24"/>
  <c r="BA44" i="24"/>
  <c r="BA41" i="24"/>
  <c r="BA36" i="24"/>
  <c r="BA27" i="24"/>
  <c r="BA25" i="24"/>
  <c r="BA15" i="24"/>
  <c r="BA49" i="24"/>
  <c r="BA19" i="24"/>
  <c r="BA54" i="24"/>
  <c r="BA51" i="24"/>
  <c r="BA12" i="24"/>
  <c r="BA48" i="24"/>
  <c r="BA32" i="24"/>
  <c r="BA18" i="24"/>
  <c r="BA45" i="24"/>
  <c r="BA42" i="24"/>
  <c r="BA39" i="24"/>
  <c r="BA16" i="24"/>
  <c r="BA13" i="24"/>
  <c r="BA10" i="24"/>
  <c r="BA35" i="24"/>
  <c r="BA26" i="24"/>
  <c r="BA55" i="24"/>
  <c r="BA52" i="24"/>
  <c r="BA47" i="24"/>
  <c r="BA28" i="24"/>
  <c r="BA17" i="24"/>
  <c r="AW7" i="24"/>
  <c r="CG35" i="24"/>
  <c r="CO7" i="24" s="1"/>
  <c r="CG13" i="24"/>
  <c r="CO5" i="24" s="1"/>
  <c r="AW26" i="24"/>
  <c r="AY28" i="24"/>
  <c r="AY47" i="24"/>
  <c r="O6" i="24"/>
  <c r="BA6" i="24"/>
  <c r="BT9" i="24"/>
  <c r="BU9" i="24" s="1"/>
  <c r="BB56" i="24"/>
  <c r="BQ12" i="24"/>
  <c r="O9" i="24"/>
  <c r="O8" i="24"/>
  <c r="O7" i="24"/>
  <c r="O11" i="24"/>
  <c r="O14" i="24"/>
  <c r="O12" i="24"/>
  <c r="CB6" i="24"/>
  <c r="CH6" i="24" s="1"/>
  <c r="CB18" i="24"/>
  <c r="CH18" i="24" s="1"/>
  <c r="CB17" i="24"/>
  <c r="CH17" i="24" s="1"/>
  <c r="CB22" i="24"/>
  <c r="CH22" i="24" s="1"/>
  <c r="CB20" i="24"/>
  <c r="CH20" i="24" s="1"/>
  <c r="O13" i="24"/>
  <c r="DQ30" i="24"/>
  <c r="O10" i="24"/>
  <c r="BA29" i="24"/>
  <c r="AY55" i="24"/>
  <c r="AW55" i="24"/>
  <c r="AW52" i="24"/>
  <c r="AW47" i="24"/>
  <c r="AW28" i="24"/>
  <c r="AW17" i="24"/>
  <c r="AW9" i="24"/>
  <c r="AW8" i="24"/>
  <c r="AW38" i="24"/>
  <c r="AW33" i="24"/>
  <c r="AW29" i="24"/>
  <c r="AW43" i="24"/>
  <c r="AW40" i="24"/>
  <c r="AW30" i="24"/>
  <c r="AW23" i="24"/>
  <c r="AW11" i="24"/>
  <c r="AW37" i="24"/>
  <c r="AW24" i="24"/>
  <c r="AW22" i="24"/>
  <c r="AW14" i="24"/>
  <c r="AW53" i="24"/>
  <c r="AW50" i="24"/>
  <c r="AW46" i="24"/>
  <c r="AW21" i="24"/>
  <c r="AW34" i="24"/>
  <c r="AW31" i="24"/>
  <c r="AW20" i="24"/>
  <c r="AW44" i="24"/>
  <c r="AW41" i="24"/>
  <c r="AW36" i="24"/>
  <c r="AW27" i="24"/>
  <c r="AW25" i="24"/>
  <c r="AW15" i="24"/>
  <c r="AW49" i="24"/>
  <c r="AW19" i="24"/>
  <c r="AW54" i="24"/>
  <c r="AW51" i="24"/>
  <c r="AW12" i="24"/>
  <c r="AW48" i="24"/>
  <c r="AW32" i="24"/>
  <c r="AW18" i="24"/>
  <c r="AW45" i="24"/>
  <c r="AW42" i="24"/>
  <c r="AW39" i="24"/>
  <c r="AW16" i="24"/>
  <c r="AW13" i="24"/>
  <c r="AW10" i="24"/>
  <c r="BF56" i="24"/>
  <c r="CN10" i="24"/>
  <c r="CB19" i="24"/>
  <c r="CH19" i="24" s="1"/>
  <c r="BA33" i="24"/>
  <c r="BA38" i="24"/>
  <c r="AY38" i="24"/>
  <c r="AY33" i="24"/>
  <c r="AY29" i="24"/>
  <c r="AY43" i="24"/>
  <c r="AY40" i="24"/>
  <c r="AY30" i="24"/>
  <c r="AY23" i="24"/>
  <c r="AY11" i="24"/>
  <c r="AY37" i="24"/>
  <c r="AY24" i="24"/>
  <c r="AY22" i="24"/>
  <c r="AY14" i="24"/>
  <c r="AY53" i="24"/>
  <c r="AY50" i="24"/>
  <c r="AY46" i="24"/>
  <c r="AY21" i="24"/>
  <c r="AY34" i="24"/>
  <c r="AY31" i="24"/>
  <c r="AY20" i="24"/>
  <c r="AY44" i="24"/>
  <c r="AY41" i="24"/>
  <c r="AY36" i="24"/>
  <c r="AY27" i="24"/>
  <c r="AY25" i="24"/>
  <c r="AY15" i="24"/>
  <c r="AY49" i="24"/>
  <c r="AY19" i="24"/>
  <c r="AY54" i="24"/>
  <c r="AY51" i="24"/>
  <c r="AY12" i="24"/>
  <c r="AY48" i="24"/>
  <c r="AY32" i="24"/>
  <c r="AY18" i="24"/>
  <c r="AY45" i="24"/>
  <c r="AY42" i="24"/>
  <c r="AY39" i="24"/>
  <c r="AY16" i="24"/>
  <c r="AY13" i="24"/>
  <c r="AY10" i="24"/>
  <c r="AY35" i="24"/>
  <c r="AY26" i="24"/>
  <c r="BA9" i="24"/>
  <c r="AY17" i="24"/>
  <c r="CB41" i="24"/>
  <c r="CH41" i="24" s="1"/>
  <c r="CB44" i="24"/>
  <c r="CH44" i="24" s="1"/>
  <c r="CF19" i="24"/>
  <c r="BY9" i="24"/>
  <c r="CB50" i="24"/>
  <c r="CH50" i="24" s="1"/>
  <c r="CB53" i="24"/>
  <c r="CH53" i="24" s="1"/>
  <c r="BY11" i="24"/>
  <c r="CF11" i="24"/>
  <c r="CF13" i="24" s="1"/>
  <c r="CF20" i="24"/>
  <c r="CB40" i="24"/>
  <c r="CH40" i="24" s="1"/>
  <c r="CB43" i="24"/>
  <c r="CH43" i="24" s="1"/>
  <c r="CF21" i="24"/>
  <c r="CF23" i="24"/>
  <c r="BY8" i="24" s="1"/>
  <c r="CB52" i="24"/>
  <c r="CH52" i="24" s="1"/>
  <c r="CB55" i="24"/>
  <c r="CH55" i="24" s="1"/>
  <c r="CB39" i="24"/>
  <c r="CH39" i="24" s="1"/>
  <c r="BY10" i="24"/>
  <c r="CB51" i="24"/>
  <c r="CH51" i="24" s="1"/>
  <c r="BF56" i="22"/>
  <c r="CH54" i="22"/>
  <c r="CH50" i="22"/>
  <c r="BU10" i="22"/>
  <c r="CB44" i="22" s="1"/>
  <c r="CH44" i="22" s="1"/>
  <c r="AY10" i="22"/>
  <c r="AY32" i="22"/>
  <c r="AY35" i="22"/>
  <c r="DZ12" i="22"/>
  <c r="CO12" i="22"/>
  <c r="BE6" i="22"/>
  <c r="BE56" i="22" s="1"/>
  <c r="CN10" i="22"/>
  <c r="O12" i="22"/>
  <c r="AY39" i="22"/>
  <c r="CF13" i="22"/>
  <c r="AY26" i="22"/>
  <c r="AY18" i="22"/>
  <c r="AY55" i="22"/>
  <c r="AY52" i="22"/>
  <c r="AY47" i="22"/>
  <c r="AY28" i="22"/>
  <c r="AY17" i="22"/>
  <c r="AY9" i="22"/>
  <c r="AY8" i="22"/>
  <c r="AY7" i="22"/>
  <c r="AY38" i="22"/>
  <c r="AY33" i="22"/>
  <c r="AY29" i="22"/>
  <c r="AY43" i="22"/>
  <c r="AY40" i="22"/>
  <c r="AY30" i="22"/>
  <c r="AY23" i="22"/>
  <c r="AY11" i="22"/>
  <c r="AY37" i="22"/>
  <c r="AY24" i="22"/>
  <c r="AY22" i="22"/>
  <c r="AY14" i="22"/>
  <c r="AY53" i="22"/>
  <c r="AY50" i="22"/>
  <c r="AY46" i="22"/>
  <c r="AY21" i="22"/>
  <c r="AY6" i="22"/>
  <c r="AY34" i="22"/>
  <c r="AY31" i="22"/>
  <c r="AY20" i="22"/>
  <c r="AY44" i="22"/>
  <c r="AY41" i="22"/>
  <c r="AY36" i="22"/>
  <c r="AY27" i="22"/>
  <c r="AY25" i="22"/>
  <c r="AY15" i="22"/>
  <c r="AY49" i="22"/>
  <c r="AY19" i="22"/>
  <c r="AY54" i="22"/>
  <c r="AY51" i="22"/>
  <c r="AY12" i="22"/>
  <c r="BB56" i="22"/>
  <c r="AY13" i="22"/>
  <c r="AY16" i="22"/>
  <c r="BA18" i="22"/>
  <c r="AW19" i="22"/>
  <c r="BA32" i="22"/>
  <c r="BA48" i="22"/>
  <c r="AW49" i="22"/>
  <c r="BA12" i="22"/>
  <c r="AW15" i="22"/>
  <c r="AW25" i="22"/>
  <c r="AW27" i="22"/>
  <c r="AW36" i="22"/>
  <c r="AW41" i="22"/>
  <c r="AW44" i="22"/>
  <c r="BA51" i="22"/>
  <c r="BA54" i="22"/>
  <c r="O6" i="22"/>
  <c r="BA19" i="22"/>
  <c r="AW20" i="22"/>
  <c r="CF21" i="22"/>
  <c r="CF23" i="22"/>
  <c r="BY8" i="22" s="1"/>
  <c r="AW31" i="22"/>
  <c r="AW34" i="22"/>
  <c r="BA49" i="22"/>
  <c r="AW6" i="22"/>
  <c r="O14" i="22"/>
  <c r="BA15" i="22"/>
  <c r="AW21" i="22"/>
  <c r="CF22" i="22"/>
  <c r="BA25" i="22"/>
  <c r="BA27" i="22"/>
  <c r="BA36" i="22"/>
  <c r="BA41" i="22"/>
  <c r="BA44" i="22"/>
  <c r="AW46" i="22"/>
  <c r="AW50" i="22"/>
  <c r="CB52" i="22"/>
  <c r="CH52" i="22" s="1"/>
  <c r="AW53" i="22"/>
  <c r="CB55" i="22"/>
  <c r="CH55" i="22" s="1"/>
  <c r="O11" i="22"/>
  <c r="AW14" i="22"/>
  <c r="BA20" i="22"/>
  <c r="AW22" i="22"/>
  <c r="AW24" i="22"/>
  <c r="BA31" i="22"/>
  <c r="BA34" i="22"/>
  <c r="AW37" i="22"/>
  <c r="BA6" i="22"/>
  <c r="AW11" i="22"/>
  <c r="BA21" i="22"/>
  <c r="AW23" i="22"/>
  <c r="AW30" i="22"/>
  <c r="AW40" i="22"/>
  <c r="AW43" i="22"/>
  <c r="BA46" i="22"/>
  <c r="BA50" i="22"/>
  <c r="BA53" i="22"/>
  <c r="BT8" i="22"/>
  <c r="O9" i="22"/>
  <c r="BT9" i="22"/>
  <c r="BA14" i="22"/>
  <c r="CF17" i="22"/>
  <c r="BA22" i="22"/>
  <c r="BA24" i="22"/>
  <c r="AW29" i="22"/>
  <c r="AW33" i="22"/>
  <c r="BA37" i="22"/>
  <c r="AW38" i="22"/>
  <c r="BY10" i="22"/>
  <c r="AW7" i="22"/>
  <c r="AW8" i="22"/>
  <c r="BA11" i="22"/>
  <c r="AW17" i="22"/>
  <c r="BA23" i="22"/>
  <c r="AW28" i="22"/>
  <c r="BA30" i="22"/>
  <c r="BA40" i="22"/>
  <c r="BA43" i="22"/>
  <c r="AW47" i="22"/>
  <c r="CB51" i="22"/>
  <c r="CH51" i="22" s="1"/>
  <c r="AW52" i="22"/>
  <c r="AW55" i="22"/>
  <c r="AW9" i="22"/>
  <c r="O10" i="22"/>
  <c r="O13" i="22"/>
  <c r="AW26" i="22"/>
  <c r="BA29" i="22"/>
  <c r="BA33" i="22"/>
  <c r="BF55" i="16"/>
  <c r="BF54" i="16"/>
  <c r="BF53" i="16"/>
  <c r="BF52" i="16"/>
  <c r="BF51" i="16"/>
  <c r="BF50" i="16"/>
  <c r="BF49" i="16"/>
  <c r="BF48" i="16"/>
  <c r="BF47" i="16"/>
  <c r="BF46" i="16"/>
  <c r="BF45" i="16"/>
  <c r="BF44" i="16"/>
  <c r="BF43" i="16"/>
  <c r="BF42" i="16"/>
  <c r="BF41" i="16"/>
  <c r="BF40" i="16"/>
  <c r="BF39" i="16"/>
  <c r="BF38" i="16"/>
  <c r="BF37" i="16"/>
  <c r="BF36" i="16"/>
  <c r="BF35" i="16"/>
  <c r="BF34" i="16"/>
  <c r="BF33" i="16"/>
  <c r="BF32" i="16"/>
  <c r="BF31" i="16"/>
  <c r="BF30" i="16"/>
  <c r="BF29" i="16"/>
  <c r="BF28" i="16"/>
  <c r="BF27" i="16"/>
  <c r="BF26" i="16"/>
  <c r="BF25" i="16"/>
  <c r="BF24" i="16"/>
  <c r="BF23" i="16"/>
  <c r="AS57" i="16"/>
  <c r="AS58" i="16"/>
  <c r="AV57" i="16"/>
  <c r="AX57" i="16"/>
  <c r="AZ57" i="16"/>
  <c r="AV58" i="16"/>
  <c r="AX58" i="16"/>
  <c r="AZ58" i="16"/>
  <c r="BA4" i="16"/>
  <c r="CD55" i="16"/>
  <c r="CC55" i="16"/>
  <c r="CD54" i="16"/>
  <c r="CC54" i="16"/>
  <c r="CD53" i="16"/>
  <c r="CC53" i="16"/>
  <c r="CD52" i="16"/>
  <c r="CC52" i="16"/>
  <c r="CD51" i="16"/>
  <c r="CC51" i="16"/>
  <c r="CD50" i="16"/>
  <c r="CC50" i="16"/>
  <c r="CA49" i="16"/>
  <c r="CD44" i="16"/>
  <c r="CC44" i="16"/>
  <c r="CD43" i="16"/>
  <c r="CC43" i="16"/>
  <c r="CD42" i="16"/>
  <c r="CC42" i="16"/>
  <c r="CD41" i="16"/>
  <c r="CC41" i="16"/>
  <c r="CD40" i="16"/>
  <c r="CC40" i="16"/>
  <c r="CD39" i="16"/>
  <c r="CC39" i="16"/>
  <c r="CA38" i="16"/>
  <c r="CD33" i="16"/>
  <c r="CC33" i="16"/>
  <c r="CD32" i="16"/>
  <c r="CC32" i="16"/>
  <c r="CD31" i="16"/>
  <c r="CC31" i="16"/>
  <c r="CD30" i="16"/>
  <c r="CC30" i="16"/>
  <c r="CD29" i="16"/>
  <c r="CC29" i="16"/>
  <c r="CD28" i="16"/>
  <c r="CC28" i="16"/>
  <c r="CA27" i="16"/>
  <c r="CD22" i="16"/>
  <c r="CC22" i="16"/>
  <c r="CD21" i="16"/>
  <c r="CC21" i="16"/>
  <c r="CD20" i="16"/>
  <c r="CC20" i="16"/>
  <c r="CD19" i="16"/>
  <c r="CC19" i="16"/>
  <c r="CD18" i="16"/>
  <c r="CC18" i="16"/>
  <c r="CD17" i="16"/>
  <c r="CC17" i="16"/>
  <c r="CA16" i="16"/>
  <c r="CD11" i="16"/>
  <c r="CC11" i="16"/>
  <c r="BU11" i="16"/>
  <c r="BT11" i="16"/>
  <c r="BQ11" i="16"/>
  <c r="CD10" i="16"/>
  <c r="CC10" i="16"/>
  <c r="BQ10" i="16"/>
  <c r="CD9" i="16"/>
  <c r="CC9" i="16"/>
  <c r="BQ9" i="16"/>
  <c r="CD8" i="16"/>
  <c r="CC8" i="16"/>
  <c r="BQ8" i="16"/>
  <c r="CD7" i="16"/>
  <c r="CC7" i="16"/>
  <c r="BQ7" i="16"/>
  <c r="CD6" i="16"/>
  <c r="CC6" i="16"/>
  <c r="CA5" i="16"/>
  <c r="BF55" i="11"/>
  <c r="BF54" i="11"/>
  <c r="BF53" i="11"/>
  <c r="BF52" i="11"/>
  <c r="BF51" i="11"/>
  <c r="BF50" i="11"/>
  <c r="BF49" i="11"/>
  <c r="BF48" i="11"/>
  <c r="BF47" i="11"/>
  <c r="AR46" i="11"/>
  <c r="AS46" i="11" s="1"/>
  <c r="AV46" i="11" s="1"/>
  <c r="AR45" i="11"/>
  <c r="AS45" i="11" s="1"/>
  <c r="AV45" i="11" s="1"/>
  <c r="AX45" i="11" s="1"/>
  <c r="AZ45" i="11" s="1"/>
  <c r="AR44" i="11"/>
  <c r="AR43" i="11"/>
  <c r="AS43" i="11" s="1"/>
  <c r="AV43" i="11" s="1"/>
  <c r="AR42" i="11"/>
  <c r="AS42" i="11" s="1"/>
  <c r="AR41" i="11"/>
  <c r="AS41" i="11" s="1"/>
  <c r="AR40" i="11"/>
  <c r="AS40" i="11" s="1"/>
  <c r="AR39" i="11"/>
  <c r="AS39" i="11" s="1"/>
  <c r="AV39" i="11" s="1"/>
  <c r="AX39" i="11" s="1"/>
  <c r="AZ39" i="11" s="1"/>
  <c r="AR38" i="11"/>
  <c r="AS38" i="11" s="1"/>
  <c r="AV38" i="11" s="1"/>
  <c r="AX38" i="11" s="1"/>
  <c r="AR37" i="11"/>
  <c r="AS37" i="11" s="1"/>
  <c r="AV37" i="11" s="1"/>
  <c r="AX37" i="11" s="1"/>
  <c r="AZ37" i="11" s="1"/>
  <c r="AR36" i="11"/>
  <c r="AS36" i="11" s="1"/>
  <c r="AV36" i="11" s="1"/>
  <c r="AX36" i="11" s="1"/>
  <c r="AZ36" i="11" s="1"/>
  <c r="AR35" i="11"/>
  <c r="AS35" i="11" s="1"/>
  <c r="AV35" i="11" s="1"/>
  <c r="AX35" i="11" s="1"/>
  <c r="AZ35" i="11" s="1"/>
  <c r="AR34" i="11"/>
  <c r="AS34" i="11" s="1"/>
  <c r="AV34" i="11" s="1"/>
  <c r="AR33" i="11"/>
  <c r="AS33" i="11" s="1"/>
  <c r="AV33" i="11" s="1"/>
  <c r="AX33" i="11" s="1"/>
  <c r="AZ33" i="11" s="1"/>
  <c r="AR32" i="11"/>
  <c r="AR31" i="11"/>
  <c r="AS31" i="11" s="1"/>
  <c r="AV31" i="11" s="1"/>
  <c r="AR30" i="11"/>
  <c r="AS30" i="11" s="1"/>
  <c r="AR29" i="11"/>
  <c r="AS29" i="11" s="1"/>
  <c r="AR28" i="11"/>
  <c r="AS28" i="11" s="1"/>
  <c r="AR27" i="11"/>
  <c r="AS27" i="11" s="1"/>
  <c r="AV27" i="11" s="1"/>
  <c r="AX27" i="11" s="1"/>
  <c r="AZ27" i="11" s="1"/>
  <c r="AR26" i="11"/>
  <c r="AS26" i="11" s="1"/>
  <c r="AV26" i="11" s="1"/>
  <c r="AX26" i="11" s="1"/>
  <c r="AZ26" i="11" s="1"/>
  <c r="AR25" i="11"/>
  <c r="AS25" i="11" s="1"/>
  <c r="AR24" i="11"/>
  <c r="AS24" i="11" s="1"/>
  <c r="AV24" i="11" s="1"/>
  <c r="AX24" i="11" s="1"/>
  <c r="AZ24" i="11" s="1"/>
  <c r="AR23" i="11"/>
  <c r="AS23" i="11" s="1"/>
  <c r="AV23" i="11" s="1"/>
  <c r="AX23" i="11" s="1"/>
  <c r="AZ23" i="11" s="1"/>
  <c r="AR22" i="11"/>
  <c r="AS22" i="11" s="1"/>
  <c r="AV22" i="11" s="1"/>
  <c r="AR21" i="11"/>
  <c r="AS21" i="11" s="1"/>
  <c r="AV21" i="11" s="1"/>
  <c r="AX21" i="11" s="1"/>
  <c r="AZ21" i="11" s="1"/>
  <c r="AR20" i="11"/>
  <c r="AR19" i="11"/>
  <c r="AS19" i="11" s="1"/>
  <c r="AV19" i="11" s="1"/>
  <c r="AX19" i="11" s="1"/>
  <c r="AZ19" i="11" s="1"/>
  <c r="AR18" i="11"/>
  <c r="AS18" i="11" s="1"/>
  <c r="AR17" i="11"/>
  <c r="AS17" i="11" s="1"/>
  <c r="AR16" i="11"/>
  <c r="AS16" i="11" s="1"/>
  <c r="AV16" i="11" s="1"/>
  <c r="AR15" i="11"/>
  <c r="AR14" i="11"/>
  <c r="AS14" i="11" s="1"/>
  <c r="AV14" i="11" s="1"/>
  <c r="AX14" i="11" s="1"/>
  <c r="AZ14" i="11" s="1"/>
  <c r="AR13" i="11"/>
  <c r="AS13" i="11" s="1"/>
  <c r="AV13" i="11" s="1"/>
  <c r="AX13" i="11" s="1"/>
  <c r="AZ13" i="11" s="1"/>
  <c r="AR12" i="11"/>
  <c r="AS12" i="11" s="1"/>
  <c r="AV12" i="11" s="1"/>
  <c r="AX12" i="11" s="1"/>
  <c r="AZ12" i="11" s="1"/>
  <c r="AR11" i="11"/>
  <c r="AS11" i="11" s="1"/>
  <c r="AV11" i="11" s="1"/>
  <c r="AX11" i="11" s="1"/>
  <c r="AZ11" i="11" s="1"/>
  <c r="AR10" i="11"/>
  <c r="AS10" i="11" s="1"/>
  <c r="AV10" i="11" s="1"/>
  <c r="AR9" i="11"/>
  <c r="AR8" i="11"/>
  <c r="AS8" i="11" s="1"/>
  <c r="AV8" i="11" s="1"/>
  <c r="AX8" i="11" s="1"/>
  <c r="AZ8" i="11" s="1"/>
  <c r="AR7" i="11"/>
  <c r="AS7" i="11" s="1"/>
  <c r="AR6" i="11"/>
  <c r="AR2" i="11"/>
  <c r="BC28" i="11" s="1"/>
  <c r="BO2" i="11"/>
  <c r="BQ2" i="11"/>
  <c r="AP4" i="11"/>
  <c r="AW4" i="11"/>
  <c r="AY4" i="11"/>
  <c r="BA4" i="11"/>
  <c r="BB4" i="11"/>
  <c r="R5" i="11"/>
  <c r="X5" i="11" s="1"/>
  <c r="CA5" i="11"/>
  <c r="CM5" i="11" s="1"/>
  <c r="DB5" i="11"/>
  <c r="DO5" i="11"/>
  <c r="DQ5" i="11" s="1"/>
  <c r="DS5" i="11"/>
  <c r="R6" i="11"/>
  <c r="X6" i="11" s="1"/>
  <c r="Y6" i="11" s="1"/>
  <c r="AN6" i="11"/>
  <c r="BE6" i="11" s="1"/>
  <c r="AT6" i="11"/>
  <c r="BC6" i="11"/>
  <c r="CD6" i="11"/>
  <c r="CH6" i="11" s="1"/>
  <c r="DB6" i="11"/>
  <c r="DO6" i="11"/>
  <c r="DQ6" i="11" s="1"/>
  <c r="DS6" i="11"/>
  <c r="R7" i="11"/>
  <c r="X7" i="11" s="1"/>
  <c r="Y7" i="11" s="1"/>
  <c r="AT7" i="11"/>
  <c r="BC7" i="11"/>
  <c r="BQ7" i="11"/>
  <c r="CN5" i="11" s="1"/>
  <c r="BR7" i="11"/>
  <c r="BS7" i="11"/>
  <c r="BT7" i="11"/>
  <c r="BU7" i="11"/>
  <c r="CD7" i="11"/>
  <c r="CH7" i="11" s="1"/>
  <c r="CN7" i="11"/>
  <c r="DB7" i="11"/>
  <c r="DO7" i="11"/>
  <c r="DQ7" i="11" s="1"/>
  <c r="DS7" i="11"/>
  <c r="R8" i="11"/>
  <c r="X8" i="11" s="1"/>
  <c r="Y8" i="11" s="1"/>
  <c r="AT8" i="11"/>
  <c r="BC8" i="11"/>
  <c r="BQ8" i="11"/>
  <c r="CN6" i="11" s="1"/>
  <c r="BR8" i="11"/>
  <c r="BS8" i="11"/>
  <c r="BT8" i="11"/>
  <c r="BU8" i="11"/>
  <c r="CD8" i="11"/>
  <c r="CH8" i="11" s="1"/>
  <c r="CP8" i="11"/>
  <c r="DB8" i="11"/>
  <c r="DO8" i="11"/>
  <c r="DQ8" i="11" s="1"/>
  <c r="DS8" i="11"/>
  <c r="R9" i="11"/>
  <c r="AD9" i="11" s="1"/>
  <c r="AE9" i="11" s="1"/>
  <c r="W9" i="11"/>
  <c r="AT9" i="11"/>
  <c r="BC9" i="11"/>
  <c r="BQ9" i="11"/>
  <c r="BR9" i="11"/>
  <c r="BS9" i="11"/>
  <c r="BT9" i="11"/>
  <c r="BU9" i="11"/>
  <c r="CD9" i="11"/>
  <c r="CH9" i="11" s="1"/>
  <c r="CN9" i="11"/>
  <c r="CP9" i="11"/>
  <c r="DB9" i="11"/>
  <c r="DO9" i="11"/>
  <c r="DQ9" i="11" s="1"/>
  <c r="DS9" i="11"/>
  <c r="DZ9" i="11"/>
  <c r="R10" i="11"/>
  <c r="AD10" i="11" s="1"/>
  <c r="AE10" i="11" s="1"/>
  <c r="W10" i="11"/>
  <c r="AT10" i="11"/>
  <c r="BC10" i="11"/>
  <c r="BQ10" i="11"/>
  <c r="CN8" i="11" s="1"/>
  <c r="BR10" i="11"/>
  <c r="BS10" i="11"/>
  <c r="BT10" i="11"/>
  <c r="BU10" i="11"/>
  <c r="CC10" i="11"/>
  <c r="CD10" i="11"/>
  <c r="DB10" i="11"/>
  <c r="DO10" i="11"/>
  <c r="DQ10" i="11" s="1"/>
  <c r="R11" i="11"/>
  <c r="AD11" i="11" s="1"/>
  <c r="AE11" i="11" s="1"/>
  <c r="W11" i="11"/>
  <c r="AT11" i="11"/>
  <c r="BC11" i="11"/>
  <c r="BQ11" i="11"/>
  <c r="BR11" i="11"/>
  <c r="BS11" i="11"/>
  <c r="BT11" i="11"/>
  <c r="BU11" i="11"/>
  <c r="CC11" i="11"/>
  <c r="CD11" i="11"/>
  <c r="CF11" i="11"/>
  <c r="DB11" i="11"/>
  <c r="DO11" i="11"/>
  <c r="DQ11" i="11" s="1"/>
  <c r="R12" i="11"/>
  <c r="AD12" i="11" s="1"/>
  <c r="AE12" i="11" s="1"/>
  <c r="W12" i="11"/>
  <c r="AT12" i="11"/>
  <c r="BC12" i="11"/>
  <c r="DB12" i="11"/>
  <c r="DO12" i="11"/>
  <c r="DQ12" i="11" s="1"/>
  <c r="R13" i="11"/>
  <c r="AD13" i="11" s="1"/>
  <c r="AE13" i="11" s="1"/>
  <c r="W13" i="11"/>
  <c r="AT13" i="11"/>
  <c r="BC13" i="11"/>
  <c r="CE13" i="11"/>
  <c r="CF7" i="11" s="1"/>
  <c r="DB13" i="11"/>
  <c r="DO13" i="11"/>
  <c r="DQ13" i="11" s="1"/>
  <c r="EB13" i="11"/>
  <c r="R14" i="11"/>
  <c r="AD14" i="11" s="1"/>
  <c r="AE14" i="11" s="1"/>
  <c r="W14" i="11"/>
  <c r="AT14" i="11"/>
  <c r="DB14" i="11"/>
  <c r="DO14" i="11"/>
  <c r="DQ14" i="11"/>
  <c r="AA15" i="11"/>
  <c r="AB15" i="11" s="1"/>
  <c r="AT15" i="11"/>
  <c r="BC15" i="11"/>
  <c r="DB15" i="11"/>
  <c r="DO15" i="11"/>
  <c r="DQ15" i="11"/>
  <c r="AT16" i="11"/>
  <c r="CA16" i="11"/>
  <c r="CM6" i="11" s="1"/>
  <c r="DB16" i="11"/>
  <c r="DO16" i="11"/>
  <c r="DQ16" i="11" s="1"/>
  <c r="AT17" i="11"/>
  <c r="BC17" i="11"/>
  <c r="CD17" i="11"/>
  <c r="CH17" i="11" s="1"/>
  <c r="DB17" i="11"/>
  <c r="DO17" i="11"/>
  <c r="DQ17" i="11" s="1"/>
  <c r="AT18" i="11"/>
  <c r="CD18" i="11"/>
  <c r="CH18" i="11" s="1"/>
  <c r="DB18" i="11"/>
  <c r="DO18" i="11"/>
  <c r="DQ18" i="11" s="1"/>
  <c r="AT19" i="11"/>
  <c r="BC19" i="11"/>
  <c r="CD19" i="11"/>
  <c r="CH19" i="11" s="1"/>
  <c r="DO19" i="11"/>
  <c r="DQ19" i="11" s="1"/>
  <c r="AT20" i="11"/>
  <c r="BC20" i="11"/>
  <c r="CC20" i="11"/>
  <c r="CD20" i="11"/>
  <c r="DO20" i="11"/>
  <c r="DQ20" i="11"/>
  <c r="AT21" i="11"/>
  <c r="BC21" i="11"/>
  <c r="CC21" i="11"/>
  <c r="CD21" i="11"/>
  <c r="DO21" i="11"/>
  <c r="DQ21" i="11" s="1"/>
  <c r="AT22" i="11"/>
  <c r="BC22" i="11"/>
  <c r="CD22" i="11"/>
  <c r="CH22" i="11" s="1"/>
  <c r="DO22" i="11"/>
  <c r="DQ22" i="11"/>
  <c r="EB22" i="11"/>
  <c r="AT23" i="11"/>
  <c r="BC23" i="11"/>
  <c r="DO23" i="11"/>
  <c r="DQ23" i="11" s="1"/>
  <c r="AT24" i="11"/>
  <c r="BC24" i="11"/>
  <c r="CE24" i="11"/>
  <c r="DO24" i="11"/>
  <c r="DQ24" i="11" s="1"/>
  <c r="AT25" i="11"/>
  <c r="BC25" i="11"/>
  <c r="DO25" i="11"/>
  <c r="DQ25" i="11" s="1"/>
  <c r="AT26" i="11"/>
  <c r="DO26" i="11"/>
  <c r="DQ26" i="11" s="1"/>
  <c r="AT27" i="11"/>
  <c r="BC27" i="11"/>
  <c r="CA27" i="11"/>
  <c r="CM7" i="11" s="1"/>
  <c r="DO27" i="11"/>
  <c r="DQ27" i="11"/>
  <c r="AT28" i="11"/>
  <c r="CC28" i="11"/>
  <c r="CD28" i="11"/>
  <c r="DO28" i="11"/>
  <c r="DQ28" i="11" s="1"/>
  <c r="AT29" i="11"/>
  <c r="BC29" i="11"/>
  <c r="CC29" i="11"/>
  <c r="CD29" i="11"/>
  <c r="DO29" i="11"/>
  <c r="DQ29" i="11" s="1"/>
  <c r="AT30" i="11"/>
  <c r="BC30" i="11"/>
  <c r="CC30" i="11"/>
  <c r="CD30" i="11"/>
  <c r="AT31" i="11"/>
  <c r="BC31" i="11"/>
  <c r="CC31" i="11"/>
  <c r="CD31" i="11"/>
  <c r="CF31" i="11"/>
  <c r="AT32" i="11"/>
  <c r="BC32" i="11"/>
  <c r="CC32" i="11"/>
  <c r="CD32" i="11"/>
  <c r="AT33" i="11"/>
  <c r="BC33" i="11"/>
  <c r="CC33" i="11"/>
  <c r="CD33" i="11"/>
  <c r="AT34" i="11"/>
  <c r="BC34" i="11"/>
  <c r="AT35" i="11"/>
  <c r="BC35" i="11"/>
  <c r="CE35" i="11"/>
  <c r="CP7" i="11" s="1"/>
  <c r="AT36" i="11"/>
  <c r="BC36" i="11"/>
  <c r="AT37" i="11"/>
  <c r="BC37" i="11"/>
  <c r="AT38" i="11"/>
  <c r="BC38" i="11"/>
  <c r="CA38" i="11"/>
  <c r="CM8" i="11" s="1"/>
  <c r="AT39" i="11"/>
  <c r="BC39" i="11"/>
  <c r="CC39" i="11"/>
  <c r="CD39" i="11"/>
  <c r="CF39" i="11"/>
  <c r="AT40" i="11"/>
  <c r="BC40" i="11"/>
  <c r="CC40" i="11"/>
  <c r="CD40" i="11"/>
  <c r="AT41" i="11"/>
  <c r="BC41" i="11"/>
  <c r="CC41" i="11"/>
  <c r="CD41" i="11"/>
  <c r="AT42" i="11"/>
  <c r="BC42" i="11"/>
  <c r="CC42" i="11"/>
  <c r="CD42" i="11"/>
  <c r="CF42" i="11"/>
  <c r="AT43" i="11"/>
  <c r="BC43" i="11"/>
  <c r="CC43" i="11"/>
  <c r="CD43" i="11"/>
  <c r="AT44" i="11"/>
  <c r="BC44" i="11"/>
  <c r="CC44" i="11"/>
  <c r="CD44" i="11"/>
  <c r="CF44" i="11"/>
  <c r="AT45" i="11"/>
  <c r="BC45" i="11"/>
  <c r="AT46" i="11"/>
  <c r="BC46" i="11"/>
  <c r="AT47" i="11"/>
  <c r="AU47" i="11" s="1"/>
  <c r="AW47" i="11"/>
  <c r="AY47" i="11"/>
  <c r="BA47" i="11"/>
  <c r="BB47" i="11"/>
  <c r="BC47" i="11"/>
  <c r="BD47" i="11"/>
  <c r="AT48" i="11"/>
  <c r="AU48" i="11" s="1"/>
  <c r="AW48" i="11"/>
  <c r="AY48" i="11"/>
  <c r="BA48" i="11"/>
  <c r="BB48" i="11"/>
  <c r="BC48" i="11"/>
  <c r="BD48" i="11" s="1"/>
  <c r="AT49" i="11"/>
  <c r="AU49" i="11" s="1"/>
  <c r="AW49" i="11"/>
  <c r="AY49" i="11"/>
  <c r="BB49" i="11"/>
  <c r="BC49" i="11"/>
  <c r="BD49" i="11" s="1"/>
  <c r="CA49" i="11"/>
  <c r="CM9" i="11" s="1"/>
  <c r="AT50" i="11"/>
  <c r="AU50" i="11" s="1"/>
  <c r="AW50" i="11"/>
  <c r="AY50" i="11"/>
  <c r="BB50" i="11"/>
  <c r="BC50" i="11"/>
  <c r="BD50" i="11" s="1"/>
  <c r="CC50" i="11"/>
  <c r="CD50" i="11"/>
  <c r="CF50" i="11"/>
  <c r="AT51" i="11"/>
  <c r="AU51" i="11" s="1"/>
  <c r="AW51" i="11"/>
  <c r="AY51" i="11"/>
  <c r="BA51" i="11"/>
  <c r="BB51" i="11"/>
  <c r="BC51" i="11"/>
  <c r="BD51" i="11" s="1"/>
  <c r="CC51" i="11"/>
  <c r="CD51" i="11"/>
  <c r="AT52" i="11"/>
  <c r="AU52" i="11" s="1"/>
  <c r="AW52" i="11"/>
  <c r="AY52" i="11"/>
  <c r="BA52" i="11"/>
  <c r="BB52" i="11"/>
  <c r="BC52" i="11"/>
  <c r="BD52" i="11" s="1"/>
  <c r="CC52" i="11"/>
  <c r="CD52" i="11"/>
  <c r="CF52" i="11"/>
  <c r="AT53" i="11"/>
  <c r="AU53" i="11" s="1"/>
  <c r="AW53" i="11"/>
  <c r="AY53" i="11"/>
  <c r="BA53" i="11"/>
  <c r="BB53" i="11"/>
  <c r="BC53" i="11"/>
  <c r="BD53" i="11" s="1"/>
  <c r="CC53" i="11"/>
  <c r="CD53" i="11"/>
  <c r="CF53" i="11"/>
  <c r="AT54" i="11"/>
  <c r="AU54" i="11" s="1"/>
  <c r="AW54" i="11"/>
  <c r="AY54" i="11"/>
  <c r="BA54" i="11"/>
  <c r="BB54" i="11"/>
  <c r="BC54" i="11"/>
  <c r="BD54" i="11" s="1"/>
  <c r="CC54" i="11"/>
  <c r="CD54" i="11"/>
  <c r="CF54" i="11"/>
  <c r="AT55" i="11"/>
  <c r="AU55" i="11" s="1"/>
  <c r="AW55" i="11"/>
  <c r="AY55" i="11"/>
  <c r="BA55" i="11"/>
  <c r="BB55" i="11"/>
  <c r="BC55" i="11"/>
  <c r="BD55" i="11" s="1"/>
  <c r="CC55" i="11"/>
  <c r="CD55" i="11"/>
  <c r="CF55" i="11"/>
  <c r="CF56" i="11"/>
  <c r="BY11" i="11" s="1"/>
  <c r="CB61" i="11"/>
  <c r="AQ109" i="11"/>
  <c r="AQ113" i="11"/>
  <c r="AQ116" i="11"/>
  <c r="AQ120" i="11"/>
  <c r="AQ121" i="11"/>
  <c r="AZ56" i="16"/>
  <c r="AX56" i="16"/>
  <c r="AV56" i="16"/>
  <c r="AS56" i="16"/>
  <c r="AZ38" i="11" l="1"/>
  <c r="BB38" i="11" s="1"/>
  <c r="CB10" i="24"/>
  <c r="CH10" i="24" s="1"/>
  <c r="CB7" i="24"/>
  <c r="CH7" i="24" s="1"/>
  <c r="CB11" i="24"/>
  <c r="CH11" i="24" s="1"/>
  <c r="EB8" i="24"/>
  <c r="DZ6" i="25"/>
  <c r="N15" i="21"/>
  <c r="AO24" i="24"/>
  <c r="AD15" i="24"/>
  <c r="AE5" i="24"/>
  <c r="AE15" i="24" s="1"/>
  <c r="AC15" i="23"/>
  <c r="L14" i="21"/>
  <c r="AE15" i="22"/>
  <c r="AO27" i="22"/>
  <c r="AD15" i="22"/>
  <c r="X15" i="22"/>
  <c r="CF13" i="25"/>
  <c r="AO54" i="25"/>
  <c r="CF24" i="25"/>
  <c r="CB22" i="25"/>
  <c r="CH22" i="25" s="1"/>
  <c r="CO11" i="25"/>
  <c r="F3" i="21" s="1"/>
  <c r="CB6" i="25"/>
  <c r="CH6" i="25" s="1"/>
  <c r="CB17" i="25"/>
  <c r="CH17" i="25" s="1"/>
  <c r="CG13" i="25"/>
  <c r="CO5" i="25" s="1"/>
  <c r="CB10" i="25"/>
  <c r="CH10" i="25" s="1"/>
  <c r="CB21" i="25"/>
  <c r="CH21" i="25" s="1"/>
  <c r="CG19" i="24"/>
  <c r="CO11" i="24"/>
  <c r="E3" i="21" s="1"/>
  <c r="CG46" i="24"/>
  <c r="CO8" i="24" s="1"/>
  <c r="CG21" i="24"/>
  <c r="CG52" i="24"/>
  <c r="CG57" i="24"/>
  <c r="CO9" i="24" s="1"/>
  <c r="EB17" i="24"/>
  <c r="M7" i="21" s="1"/>
  <c r="CG23" i="24"/>
  <c r="CG24" i="24"/>
  <c r="CO6" i="24" s="1"/>
  <c r="CG6" i="24"/>
  <c r="CG50" i="24"/>
  <c r="CF46" i="24"/>
  <c r="CG31" i="24"/>
  <c r="AO36" i="23"/>
  <c r="AQ36" i="23" s="1"/>
  <c r="AO32" i="23"/>
  <c r="AQ32" i="23" s="1"/>
  <c r="AO28" i="23"/>
  <c r="AQ28" i="23" s="1"/>
  <c r="CB41" i="22"/>
  <c r="CH41" i="22" s="1"/>
  <c r="CG35" i="22"/>
  <c r="CO7" i="22" s="1"/>
  <c r="AO49" i="22"/>
  <c r="EB17" i="22"/>
  <c r="K7" i="21" s="1"/>
  <c r="AO27" i="25"/>
  <c r="AQ27" i="25" s="1"/>
  <c r="AO37" i="25"/>
  <c r="AQ37" i="25" s="1"/>
  <c r="AO14" i="25"/>
  <c r="CB7" i="25"/>
  <c r="CH7" i="25" s="1"/>
  <c r="AO10" i="25"/>
  <c r="AQ10" i="25" s="1"/>
  <c r="AO15" i="25"/>
  <c r="AQ15" i="25" s="1"/>
  <c r="CB8" i="25"/>
  <c r="CH8" i="25" s="1"/>
  <c r="CB18" i="25"/>
  <c r="CH18" i="25" s="1"/>
  <c r="CB19" i="25"/>
  <c r="CH19" i="25" s="1"/>
  <c r="CB9" i="25"/>
  <c r="CH9" i="25" s="1"/>
  <c r="CB11" i="25"/>
  <c r="CH11" i="25" s="1"/>
  <c r="AO30" i="25"/>
  <c r="AP30" i="25" s="1"/>
  <c r="AO16" i="25"/>
  <c r="AQ16" i="25" s="1"/>
  <c r="AO40" i="25"/>
  <c r="AQ40" i="25" s="1"/>
  <c r="AO8" i="25"/>
  <c r="AQ8" i="25" s="1"/>
  <c r="AO6" i="25"/>
  <c r="AQ6" i="25" s="1"/>
  <c r="AO35" i="25"/>
  <c r="AP35" i="25" s="1"/>
  <c r="AW56" i="25"/>
  <c r="CB20" i="25"/>
  <c r="CH20" i="25" s="1"/>
  <c r="AO39" i="25"/>
  <c r="AP39" i="25" s="1"/>
  <c r="AO25" i="25"/>
  <c r="AQ25" i="25" s="1"/>
  <c r="AW56" i="24"/>
  <c r="AO19" i="24"/>
  <c r="AQ19" i="24" s="1"/>
  <c r="CG41" i="24"/>
  <c r="CG43" i="24"/>
  <c r="CG39" i="24"/>
  <c r="CG44" i="24"/>
  <c r="CG10" i="24"/>
  <c r="AY56" i="24"/>
  <c r="CG42" i="24"/>
  <c r="CG11" i="24"/>
  <c r="CG29" i="24"/>
  <c r="CB21" i="24"/>
  <c r="CH21" i="24" s="1"/>
  <c r="AO27" i="24"/>
  <c r="AQ27" i="24" s="1"/>
  <c r="CG12" i="24"/>
  <c r="CG20" i="24"/>
  <c r="CG33" i="24"/>
  <c r="CB8" i="24"/>
  <c r="CH8" i="24" s="1"/>
  <c r="AO8" i="24"/>
  <c r="AQ8" i="24" s="1"/>
  <c r="CB9" i="24"/>
  <c r="CH9" i="24" s="1"/>
  <c r="CG7" i="24"/>
  <c r="CG34" i="24"/>
  <c r="CG22" i="24"/>
  <c r="CG55" i="24"/>
  <c r="CF24" i="24"/>
  <c r="CG9" i="24"/>
  <c r="CG56" i="24"/>
  <c r="AP28" i="23"/>
  <c r="AO6" i="23"/>
  <c r="AO40" i="23"/>
  <c r="AO48" i="23"/>
  <c r="AO20" i="23"/>
  <c r="BA56" i="23"/>
  <c r="AO21" i="23"/>
  <c r="AO43" i="23"/>
  <c r="AO49" i="23"/>
  <c r="AO7" i="23"/>
  <c r="AY56" i="23"/>
  <c r="AO12" i="23"/>
  <c r="AO46" i="23"/>
  <c r="AO26" i="23"/>
  <c r="AO15" i="23"/>
  <c r="AO29" i="23"/>
  <c r="AO47" i="23"/>
  <c r="AO52" i="23"/>
  <c r="AD15" i="23"/>
  <c r="AE5" i="23"/>
  <c r="CF58" i="23"/>
  <c r="AO50" i="23"/>
  <c r="AO35" i="23"/>
  <c r="AO25" i="23"/>
  <c r="AO9" i="23"/>
  <c r="AO19" i="23"/>
  <c r="CF46" i="23"/>
  <c r="AO53" i="23"/>
  <c r="AO10" i="23"/>
  <c r="AO27" i="23"/>
  <c r="AO55" i="23"/>
  <c r="AW56" i="23"/>
  <c r="AO14" i="23"/>
  <c r="AO13" i="23"/>
  <c r="AO33" i="23"/>
  <c r="AO22" i="23"/>
  <c r="AO16" i="23"/>
  <c r="AO41" i="23"/>
  <c r="AO8" i="23"/>
  <c r="AO51" i="23"/>
  <c r="AO24" i="23"/>
  <c r="AO39" i="23"/>
  <c r="AO44" i="23"/>
  <c r="AO31" i="23"/>
  <c r="AO54" i="23"/>
  <c r="CG57" i="23"/>
  <c r="CO9" i="23" s="1"/>
  <c r="CG55" i="23"/>
  <c r="CG52" i="23"/>
  <c r="CG43" i="23"/>
  <c r="CG40" i="23"/>
  <c r="CG30" i="23"/>
  <c r="CG22" i="23"/>
  <c r="CG9" i="23"/>
  <c r="CG8" i="23"/>
  <c r="CG7" i="23"/>
  <c r="CG53" i="23"/>
  <c r="CG50" i="23"/>
  <c r="CG23" i="23"/>
  <c r="CG21" i="23"/>
  <c r="CG6" i="23"/>
  <c r="CG56" i="23"/>
  <c r="CG46" i="23"/>
  <c r="CO8" i="23" s="1"/>
  <c r="CG34" i="23"/>
  <c r="CG19" i="23"/>
  <c r="CG54" i="23"/>
  <c r="CG51" i="23"/>
  <c r="CG32" i="23"/>
  <c r="CG18" i="23"/>
  <c r="CG12" i="23"/>
  <c r="CG17" i="23"/>
  <c r="CG31" i="23"/>
  <c r="CG33" i="23"/>
  <c r="CG13" i="23"/>
  <c r="CO5" i="23" s="1"/>
  <c r="CG45" i="23"/>
  <c r="CG44" i="23"/>
  <c r="CG42" i="23"/>
  <c r="CG41" i="23"/>
  <c r="CG35" i="23"/>
  <c r="CO7" i="23" s="1"/>
  <c r="CG29" i="23"/>
  <c r="V15" i="23"/>
  <c r="CG11" i="23"/>
  <c r="CG39" i="23"/>
  <c r="CG24" i="23"/>
  <c r="CO6" i="23" s="1"/>
  <c r="CG28" i="23"/>
  <c r="CG20" i="23"/>
  <c r="CG10" i="23"/>
  <c r="EB19" i="23"/>
  <c r="AO37" i="23"/>
  <c r="AO42" i="23"/>
  <c r="AO38" i="23"/>
  <c r="AO11" i="23"/>
  <c r="AO45" i="23"/>
  <c r="AO34" i="23"/>
  <c r="Y15" i="23"/>
  <c r="EB12" i="23" s="1"/>
  <c r="AO23" i="23"/>
  <c r="AO18" i="23"/>
  <c r="AO17" i="23"/>
  <c r="X15" i="23"/>
  <c r="AO30" i="23"/>
  <c r="EB17" i="23"/>
  <c r="L7" i="21" s="1"/>
  <c r="AO45" i="22"/>
  <c r="AP45" i="22" s="1"/>
  <c r="CB40" i="22"/>
  <c r="CH40" i="22" s="1"/>
  <c r="AO35" i="22"/>
  <c r="AO32" i="22"/>
  <c r="AQ32" i="22" s="1"/>
  <c r="AO39" i="22"/>
  <c r="AQ39" i="22" s="1"/>
  <c r="AO51" i="22"/>
  <c r="AP51" i="22" s="1"/>
  <c r="CB42" i="22"/>
  <c r="CH42" i="22" s="1"/>
  <c r="AO18" i="22"/>
  <c r="AQ18" i="22" s="1"/>
  <c r="AO16" i="22"/>
  <c r="CB43" i="22"/>
  <c r="CH43" i="22" s="1"/>
  <c r="AO41" i="22"/>
  <c r="AQ41" i="22" s="1"/>
  <c r="AO7" i="22"/>
  <c r="AP7" i="22" s="1"/>
  <c r="BU7" i="22"/>
  <c r="CB6" i="22" s="1"/>
  <c r="CH6" i="22" s="1"/>
  <c r="CB8" i="22"/>
  <c r="CH8" i="22" s="1"/>
  <c r="AO40" i="22"/>
  <c r="AQ40" i="22" s="1"/>
  <c r="AO25" i="22"/>
  <c r="AP25" i="22" s="1"/>
  <c r="CB39" i="22"/>
  <c r="CH39" i="22" s="1"/>
  <c r="AO42" i="22"/>
  <c r="AP42" i="22" s="1"/>
  <c r="AO13" i="22"/>
  <c r="AP13" i="22" s="1"/>
  <c r="AQ54" i="25"/>
  <c r="AP54" i="25"/>
  <c r="AO24" i="25"/>
  <c r="AO11" i="25"/>
  <c r="AO55" i="25"/>
  <c r="AO19" i="25"/>
  <c r="CF46" i="25"/>
  <c r="AO31" i="25"/>
  <c r="AO23" i="25"/>
  <c r="AO26" i="25"/>
  <c r="AO49" i="25"/>
  <c r="AP10" i="25"/>
  <c r="AP8" i="25"/>
  <c r="AQ14" i="25"/>
  <c r="AP14" i="25"/>
  <c r="BA56" i="25"/>
  <c r="AO43" i="25"/>
  <c r="AO42" i="25"/>
  <c r="AO36" i="25"/>
  <c r="EB8" i="25"/>
  <c r="AO7" i="25"/>
  <c r="AO29" i="25"/>
  <c r="AO45" i="25"/>
  <c r="AO41" i="25"/>
  <c r="EB17" i="25"/>
  <c r="N7" i="21" s="1"/>
  <c r="CB31" i="25"/>
  <c r="CH31" i="25" s="1"/>
  <c r="AO33" i="25"/>
  <c r="AO18" i="25"/>
  <c r="AO44" i="25"/>
  <c r="CB30" i="25"/>
  <c r="CH30" i="25" s="1"/>
  <c r="AE5" i="25"/>
  <c r="AD15" i="25"/>
  <c r="AO38" i="25"/>
  <c r="AO32" i="25"/>
  <c r="AO9" i="25"/>
  <c r="CF57" i="25"/>
  <c r="CF58" i="25" s="1"/>
  <c r="CB29" i="25"/>
  <c r="CH29" i="25" s="1"/>
  <c r="AO13" i="25"/>
  <c r="AO21" i="25"/>
  <c r="AO17" i="25"/>
  <c r="AO48" i="25"/>
  <c r="AY56" i="25"/>
  <c r="CG57" i="25"/>
  <c r="CO9" i="25" s="1"/>
  <c r="CG55" i="25"/>
  <c r="CG52" i="25"/>
  <c r="CG45" i="25"/>
  <c r="CG28" i="25"/>
  <c r="EB19" i="25"/>
  <c r="CG17" i="25"/>
  <c r="CG33" i="25"/>
  <c r="CG29" i="25"/>
  <c r="CG10" i="25"/>
  <c r="CG43" i="25"/>
  <c r="CG40" i="25"/>
  <c r="CG30" i="25"/>
  <c r="CG22" i="25"/>
  <c r="CG53" i="25"/>
  <c r="CG50" i="25"/>
  <c r="CG23" i="25"/>
  <c r="CG21" i="25"/>
  <c r="CG31" i="25"/>
  <c r="CG24" i="25"/>
  <c r="CO6" i="25" s="1"/>
  <c r="CG20" i="25"/>
  <c r="CG44" i="25"/>
  <c r="CG41" i="25"/>
  <c r="CG56" i="25"/>
  <c r="CG46" i="25"/>
  <c r="CO8" i="25" s="1"/>
  <c r="CG34" i="25"/>
  <c r="CG19" i="25"/>
  <c r="CG32" i="25"/>
  <c r="CG18" i="25"/>
  <c r="V15" i="25"/>
  <c r="CG54" i="25"/>
  <c r="CG51" i="25"/>
  <c r="CG12" i="25"/>
  <c r="CG11" i="25"/>
  <c r="CG9" i="25"/>
  <c r="CG6" i="25"/>
  <c r="CG42" i="25"/>
  <c r="CG8" i="25"/>
  <c r="CG7" i="25"/>
  <c r="CG39" i="25"/>
  <c r="CB33" i="25"/>
  <c r="CH33" i="25" s="1"/>
  <c r="AO46" i="25"/>
  <c r="AO28" i="25"/>
  <c r="AO12" i="25"/>
  <c r="X15" i="25"/>
  <c r="Y5" i="25"/>
  <c r="Y15" i="25" s="1"/>
  <c r="EB12" i="25" s="1"/>
  <c r="CB28" i="25"/>
  <c r="CH28" i="25" s="1"/>
  <c r="EB21" i="25"/>
  <c r="AO34" i="25"/>
  <c r="AO50" i="25"/>
  <c r="AO47" i="25"/>
  <c r="AO51" i="25"/>
  <c r="AO22" i="25"/>
  <c r="CB32" i="25"/>
  <c r="CH32" i="25" s="1"/>
  <c r="AO20" i="25"/>
  <c r="AO53" i="25"/>
  <c r="AO52" i="25"/>
  <c r="CF35" i="24"/>
  <c r="AO15" i="24"/>
  <c r="AO14" i="24"/>
  <c r="AO9" i="24"/>
  <c r="AO42" i="24"/>
  <c r="AO41" i="24"/>
  <c r="CB28" i="24"/>
  <c r="CH28" i="24" s="1"/>
  <c r="AO22" i="24"/>
  <c r="AO17" i="24"/>
  <c r="AO45" i="24"/>
  <c r="CB32" i="24"/>
  <c r="CH32" i="24" s="1"/>
  <c r="AO37" i="24"/>
  <c r="AO32" i="24"/>
  <c r="AO52" i="24"/>
  <c r="AO20" i="24"/>
  <c r="AO23" i="24"/>
  <c r="AO55" i="24"/>
  <c r="AO12" i="24"/>
  <c r="BA56" i="24"/>
  <c r="AO6" i="24"/>
  <c r="AO31" i="24"/>
  <c r="AO30" i="24"/>
  <c r="AO26" i="24"/>
  <c r="AO51" i="24"/>
  <c r="AQ24" i="24"/>
  <c r="AP24" i="24"/>
  <c r="EB12" i="24"/>
  <c r="AO48" i="24"/>
  <c r="AO34" i="24"/>
  <c r="AO40" i="24"/>
  <c r="AO35" i="24"/>
  <c r="AO54" i="24"/>
  <c r="AO28" i="24"/>
  <c r="AO18" i="24"/>
  <c r="AO36" i="24"/>
  <c r="AO47" i="24"/>
  <c r="AO11" i="24"/>
  <c r="AO21" i="24"/>
  <c r="AO43" i="24"/>
  <c r="AO10" i="24"/>
  <c r="CB31" i="24"/>
  <c r="CH31" i="24" s="1"/>
  <c r="AO7" i="24"/>
  <c r="AO46" i="24"/>
  <c r="AO29" i="24"/>
  <c r="AO13" i="24"/>
  <c r="AO49" i="24"/>
  <c r="CB30" i="24"/>
  <c r="CH30" i="24" s="1"/>
  <c r="AO44" i="24"/>
  <c r="AO50" i="24"/>
  <c r="AO33" i="24"/>
  <c r="AO16" i="24"/>
  <c r="EB21" i="24"/>
  <c r="CB29" i="24"/>
  <c r="CH29" i="24" s="1"/>
  <c r="CF57" i="24"/>
  <c r="CF58" i="24" s="1"/>
  <c r="AO25" i="24"/>
  <c r="AO53" i="24"/>
  <c r="AO38" i="24"/>
  <c r="AO39" i="24"/>
  <c r="CB33" i="24"/>
  <c r="CH33" i="24" s="1"/>
  <c r="AP39" i="22"/>
  <c r="AO47" i="22"/>
  <c r="AO43" i="22"/>
  <c r="DZ6" i="22"/>
  <c r="CF57" i="22"/>
  <c r="CF58" i="22" s="1"/>
  <c r="AO19" i="22"/>
  <c r="BU8" i="22"/>
  <c r="CB20" i="22" s="1"/>
  <c r="CH20" i="22" s="1"/>
  <c r="AO9" i="22"/>
  <c r="AO33" i="22"/>
  <c r="EB12" i="22"/>
  <c r="AO8" i="22"/>
  <c r="CF35" i="22"/>
  <c r="AP18" i="22"/>
  <c r="AQ7" i="22"/>
  <c r="CF46" i="22"/>
  <c r="AO48" i="22"/>
  <c r="AO50" i="22"/>
  <c r="AO6" i="22"/>
  <c r="AO21" i="22"/>
  <c r="AO20" i="22"/>
  <c r="AO22" i="22"/>
  <c r="AO31" i="22"/>
  <c r="AO34" i="22"/>
  <c r="AO46" i="22"/>
  <c r="AO24" i="22"/>
  <c r="AO37" i="22"/>
  <c r="AO14" i="22"/>
  <c r="AO29" i="22"/>
  <c r="AO30" i="22"/>
  <c r="AO36" i="22"/>
  <c r="BA56" i="22"/>
  <c r="AO28" i="22"/>
  <c r="AO23" i="22"/>
  <c r="AP49" i="22"/>
  <c r="AQ49" i="22"/>
  <c r="AQ45" i="22"/>
  <c r="AQ16" i="22"/>
  <c r="AP16" i="22"/>
  <c r="AW56" i="22"/>
  <c r="AO54" i="22"/>
  <c r="CF24" i="22"/>
  <c r="AO55" i="22"/>
  <c r="AY56" i="22"/>
  <c r="AO44" i="22"/>
  <c r="AQ13" i="22"/>
  <c r="AQ35" i="22"/>
  <c r="AP35" i="22"/>
  <c r="AO12" i="22"/>
  <c r="AO52" i="22"/>
  <c r="AO11" i="22"/>
  <c r="CG57" i="22"/>
  <c r="CO9" i="22" s="1"/>
  <c r="CG55" i="22"/>
  <c r="CG52" i="22"/>
  <c r="CG45" i="22"/>
  <c r="CG28" i="22"/>
  <c r="EB19" i="22"/>
  <c r="CG17" i="22"/>
  <c r="CG13" i="22"/>
  <c r="CO5" i="22" s="1"/>
  <c r="CG33" i="22"/>
  <c r="CG29" i="22"/>
  <c r="CG10" i="22"/>
  <c r="CG43" i="22"/>
  <c r="CG40" i="22"/>
  <c r="CG30" i="22"/>
  <c r="CG22" i="22"/>
  <c r="CG9" i="22"/>
  <c r="CG8" i="22"/>
  <c r="CG7" i="22"/>
  <c r="CG53" i="22"/>
  <c r="CG50" i="22"/>
  <c r="CG23" i="22"/>
  <c r="CG21" i="22"/>
  <c r="CG6" i="22"/>
  <c r="CG31" i="22"/>
  <c r="CG20" i="22"/>
  <c r="CG11" i="22"/>
  <c r="CG44" i="22"/>
  <c r="CG41" i="22"/>
  <c r="CG56" i="22"/>
  <c r="CG46" i="22"/>
  <c r="CO8" i="22" s="1"/>
  <c r="CG34" i="22"/>
  <c r="CG19" i="22"/>
  <c r="CG39" i="22"/>
  <c r="CG32" i="22"/>
  <c r="CG51" i="22"/>
  <c r="CG54" i="22"/>
  <c r="AO4" i="22"/>
  <c r="CG18" i="22"/>
  <c r="CG12" i="22"/>
  <c r="CG42" i="22"/>
  <c r="AP27" i="22"/>
  <c r="AQ27" i="22"/>
  <c r="AO15" i="22"/>
  <c r="BU9" i="22"/>
  <c r="CB33" i="22" s="1"/>
  <c r="CH33" i="22" s="1"/>
  <c r="AO10" i="22"/>
  <c r="AO26" i="22"/>
  <c r="AO17" i="22"/>
  <c r="AO38" i="22"/>
  <c r="AO53" i="22"/>
  <c r="CB28" i="11"/>
  <c r="CH28" i="11" s="1"/>
  <c r="CB54" i="11"/>
  <c r="CH54" i="11" s="1"/>
  <c r="CF51" i="11"/>
  <c r="CF57" i="11" s="1"/>
  <c r="CB20" i="11"/>
  <c r="CH20" i="11" s="1"/>
  <c r="O6" i="11"/>
  <c r="BA27" i="11"/>
  <c r="BA39" i="11"/>
  <c r="CF40" i="11"/>
  <c r="CF46" i="11" s="1"/>
  <c r="CF33" i="11"/>
  <c r="CF45" i="11"/>
  <c r="BY10" i="11" s="1"/>
  <c r="AC15" i="11"/>
  <c r="EB6" i="11" s="1"/>
  <c r="CN10" i="11"/>
  <c r="CF30" i="11"/>
  <c r="CF28" i="11"/>
  <c r="CF35" i="11" s="1"/>
  <c r="AU7" i="11"/>
  <c r="BA19" i="11"/>
  <c r="CB52" i="11"/>
  <c r="CH52" i="11" s="1"/>
  <c r="DB19" i="11"/>
  <c r="EB16" i="11" s="1"/>
  <c r="CB11" i="11"/>
  <c r="CH11" i="11" s="1"/>
  <c r="CF32" i="11"/>
  <c r="O8" i="11"/>
  <c r="BA45" i="11"/>
  <c r="CF41" i="11"/>
  <c r="CF10" i="11"/>
  <c r="BA23" i="11"/>
  <c r="CF34" i="11"/>
  <c r="BY9" i="11" s="1"/>
  <c r="BA36" i="11"/>
  <c r="CF43" i="11"/>
  <c r="CF29" i="11"/>
  <c r="CF12" i="11"/>
  <c r="BY7" i="11" s="1"/>
  <c r="AD7" i="11"/>
  <c r="AE7" i="11" s="1"/>
  <c r="AF7" i="11" s="1"/>
  <c r="AD6" i="11"/>
  <c r="AE6" i="11" s="1"/>
  <c r="AU4" i="11"/>
  <c r="AY8" i="11"/>
  <c r="AY21" i="11"/>
  <c r="AY33" i="11"/>
  <c r="AY45" i="11"/>
  <c r="AX16" i="11"/>
  <c r="AZ16" i="11" s="1"/>
  <c r="AY11" i="11"/>
  <c r="AY23" i="11"/>
  <c r="AY35" i="11"/>
  <c r="AY15" i="11"/>
  <c r="AY12" i="11"/>
  <c r="AY24" i="11"/>
  <c r="AY36" i="11"/>
  <c r="AX31" i="11"/>
  <c r="AZ31" i="11" s="1"/>
  <c r="AX43" i="11"/>
  <c r="AZ43" i="11" s="1"/>
  <c r="AY19" i="11"/>
  <c r="AY13" i="11"/>
  <c r="AY37" i="11"/>
  <c r="AY14" i="11"/>
  <c r="AY26" i="11"/>
  <c r="AY38" i="11"/>
  <c r="AY27" i="11"/>
  <c r="AY39" i="11"/>
  <c r="AX10" i="11"/>
  <c r="AX22" i="11"/>
  <c r="AX34" i="11"/>
  <c r="AX46" i="11"/>
  <c r="AZ46" i="11" s="1"/>
  <c r="BC18" i="11"/>
  <c r="BC26" i="11"/>
  <c r="BC16" i="11"/>
  <c r="BC14" i="11"/>
  <c r="AV25" i="11"/>
  <c r="AV28" i="11"/>
  <c r="AV40" i="11"/>
  <c r="AV17" i="11"/>
  <c r="AV29" i="11"/>
  <c r="AV41" i="11"/>
  <c r="AV18" i="11"/>
  <c r="AV30" i="11"/>
  <c r="AV42" i="11"/>
  <c r="AW11" i="11"/>
  <c r="AV7" i="11"/>
  <c r="AW7" i="11" s="1"/>
  <c r="AW12" i="11"/>
  <c r="AW24" i="11"/>
  <c r="AU16" i="11"/>
  <c r="AW16" i="11"/>
  <c r="AU19" i="11"/>
  <c r="AW19" i="11"/>
  <c r="AW31" i="11"/>
  <c r="AU43" i="11"/>
  <c r="AW43" i="11"/>
  <c r="AW37" i="11"/>
  <c r="BB37" i="11"/>
  <c r="AW14" i="11"/>
  <c r="BB14" i="11"/>
  <c r="AW26" i="11"/>
  <c r="BB26" i="11"/>
  <c r="AW38" i="11"/>
  <c r="AW15" i="11"/>
  <c r="BB15" i="11"/>
  <c r="BD15" i="11"/>
  <c r="AU27" i="11"/>
  <c r="AW27" i="11"/>
  <c r="BB27" i="11"/>
  <c r="AW39" i="11"/>
  <c r="BB39" i="11"/>
  <c r="BB36" i="11"/>
  <c r="AW36" i="11"/>
  <c r="AU13" i="11"/>
  <c r="AW13" i="11"/>
  <c r="BB13" i="11"/>
  <c r="AW8" i="11"/>
  <c r="BB8" i="11"/>
  <c r="AW21" i="11"/>
  <c r="BB21" i="11"/>
  <c r="BB33" i="11"/>
  <c r="AW33" i="11"/>
  <c r="AU33" i="11"/>
  <c r="AU45" i="11"/>
  <c r="AW45" i="11"/>
  <c r="BB45" i="11"/>
  <c r="AU10" i="11"/>
  <c r="AW10" i="11"/>
  <c r="AW22" i="11"/>
  <c r="AW34" i="11"/>
  <c r="AW46" i="11"/>
  <c r="AW23" i="11"/>
  <c r="BB23" i="11"/>
  <c r="AU35" i="11"/>
  <c r="AW35" i="11"/>
  <c r="BB35" i="11"/>
  <c r="AU40" i="11"/>
  <c r="BD21" i="11"/>
  <c r="AU29" i="11"/>
  <c r="AU41" i="11"/>
  <c r="BD39" i="11"/>
  <c r="AU38" i="11"/>
  <c r="AU18" i="11"/>
  <c r="AU30" i="11"/>
  <c r="BD37" i="11"/>
  <c r="BD35" i="11"/>
  <c r="BD23" i="11"/>
  <c r="AU21" i="11"/>
  <c r="BB19" i="11"/>
  <c r="AU31" i="11"/>
  <c r="AU34" i="11"/>
  <c r="AU22" i="11"/>
  <c r="AU39" i="11"/>
  <c r="BD11" i="11"/>
  <c r="BB11" i="11"/>
  <c r="BD33" i="11"/>
  <c r="AU23" i="11"/>
  <c r="AU15" i="11"/>
  <c r="AU12" i="11"/>
  <c r="BB24" i="11"/>
  <c r="AU36" i="11"/>
  <c r="AS20" i="11"/>
  <c r="AS32" i="11"/>
  <c r="AS44" i="11"/>
  <c r="AU37" i="11"/>
  <c r="AS9" i="11"/>
  <c r="AU25" i="11"/>
  <c r="BD45" i="11"/>
  <c r="BD27" i="11"/>
  <c r="AU26" i="11"/>
  <c r="AU14" i="11"/>
  <c r="BD19" i="11"/>
  <c r="AU17" i="11"/>
  <c r="BD12" i="11"/>
  <c r="BD24" i="11"/>
  <c r="BB12" i="11"/>
  <c r="AU24" i="11"/>
  <c r="BD36" i="11"/>
  <c r="AS6" i="11"/>
  <c r="BD14" i="11"/>
  <c r="AU42" i="11"/>
  <c r="BD13" i="11"/>
  <c r="AR56" i="11"/>
  <c r="AU28" i="11"/>
  <c r="BD26" i="11"/>
  <c r="BD8" i="11"/>
  <c r="AU8" i="11"/>
  <c r="AU11" i="11"/>
  <c r="AU46" i="11"/>
  <c r="BA15" i="11"/>
  <c r="BA14" i="11"/>
  <c r="BA8" i="11"/>
  <c r="BA50" i="11"/>
  <c r="BA35" i="11"/>
  <c r="BA24" i="11"/>
  <c r="BA13" i="11"/>
  <c r="BA12" i="11"/>
  <c r="BA33" i="11"/>
  <c r="BA26" i="11"/>
  <c r="BA21" i="11"/>
  <c r="BA49" i="11"/>
  <c r="BA37" i="11"/>
  <c r="BA11" i="11"/>
  <c r="DQ30" i="11"/>
  <c r="W15" i="11"/>
  <c r="CB32" i="11"/>
  <c r="CH32" i="11" s="1"/>
  <c r="CB39" i="11"/>
  <c r="CH39" i="11" s="1"/>
  <c r="CF23" i="11"/>
  <c r="BY8" i="11" s="1"/>
  <c r="CP6" i="11"/>
  <c r="CF22" i="11"/>
  <c r="CF19" i="11"/>
  <c r="CF17" i="11"/>
  <c r="CF18" i="11"/>
  <c r="CF20" i="11"/>
  <c r="CF21" i="11"/>
  <c r="CB31" i="11"/>
  <c r="CH31" i="11" s="1"/>
  <c r="AD8" i="11"/>
  <c r="AE8" i="11" s="1"/>
  <c r="O11" i="11"/>
  <c r="O14" i="11"/>
  <c r="O12" i="11"/>
  <c r="O9" i="11"/>
  <c r="O13" i="11"/>
  <c r="Y5" i="11"/>
  <c r="CB50" i="11"/>
  <c r="CH50" i="11" s="1"/>
  <c r="CB51" i="11"/>
  <c r="CH51" i="11" s="1"/>
  <c r="CB53" i="11"/>
  <c r="CH53" i="11" s="1"/>
  <c r="CB55" i="11"/>
  <c r="CH55" i="11" s="1"/>
  <c r="CB44" i="11"/>
  <c r="CH44" i="11" s="1"/>
  <c r="CB40" i="11"/>
  <c r="CH40" i="11" s="1"/>
  <c r="CB41" i="11"/>
  <c r="CH41" i="11" s="1"/>
  <c r="CB43" i="11"/>
  <c r="CH43" i="11" s="1"/>
  <c r="CF58" i="11"/>
  <c r="CB42" i="11"/>
  <c r="CH42" i="11" s="1"/>
  <c r="O10" i="11"/>
  <c r="R15" i="11"/>
  <c r="CB10" i="11"/>
  <c r="CH10" i="11" s="1"/>
  <c r="CB30" i="11"/>
  <c r="CH30" i="11" s="1"/>
  <c r="BQ12" i="11"/>
  <c r="CF9" i="11"/>
  <c r="O5" i="11"/>
  <c r="CB29" i="11"/>
  <c r="CH29" i="11" s="1"/>
  <c r="CF8" i="11"/>
  <c r="CP5" i="11"/>
  <c r="CO11" i="11" s="1"/>
  <c r="CB33" i="11"/>
  <c r="CH33" i="11" s="1"/>
  <c r="CB21" i="11"/>
  <c r="CH21" i="11" s="1"/>
  <c r="O7" i="11"/>
  <c r="CF6" i="11"/>
  <c r="AD5" i="11"/>
  <c r="CO10" i="24" l="1"/>
  <c r="BD38" i="11"/>
  <c r="BA38" i="11"/>
  <c r="AZ22" i="11"/>
  <c r="BD22" i="11" s="1"/>
  <c r="AZ10" i="11"/>
  <c r="BD10" i="11" s="1"/>
  <c r="AZ34" i="11"/>
  <c r="BB34" i="11" s="1"/>
  <c r="CB7" i="22"/>
  <c r="CH7" i="22" s="1"/>
  <c r="CB11" i="22"/>
  <c r="CH11" i="22" s="1"/>
  <c r="AP40" i="25"/>
  <c r="AT40" i="25" s="1"/>
  <c r="AU40" i="25" s="1"/>
  <c r="AP27" i="25"/>
  <c r="BC27" i="25" s="1"/>
  <c r="BD27" i="25" s="1"/>
  <c r="AO4" i="25"/>
  <c r="N3" i="21"/>
  <c r="N5" i="21" s="1"/>
  <c r="AP16" i="25"/>
  <c r="AP37" i="25"/>
  <c r="BC37" i="25" s="1"/>
  <c r="BD37" i="25" s="1"/>
  <c r="AP8" i="24"/>
  <c r="AP19" i="24"/>
  <c r="AP36" i="23"/>
  <c r="BC36" i="23" s="1"/>
  <c r="BD36" i="23" s="1"/>
  <c r="AO4" i="23"/>
  <c r="L3" i="21"/>
  <c r="L5" i="21" s="1"/>
  <c r="DZ6" i="23"/>
  <c r="L15" i="21"/>
  <c r="AQ42" i="22"/>
  <c r="AQ39" i="25"/>
  <c r="CO10" i="25"/>
  <c r="CO21" i="25" s="1"/>
  <c r="CO22" i="25" s="1"/>
  <c r="AQ35" i="25"/>
  <c r="AQ30" i="25"/>
  <c r="AP27" i="24"/>
  <c r="AP32" i="23"/>
  <c r="CB31" i="22"/>
  <c r="CH31" i="22" s="1"/>
  <c r="CB21" i="22"/>
  <c r="CH21" i="22" s="1"/>
  <c r="AP41" i="22"/>
  <c r="BC41" i="22" s="1"/>
  <c r="BD41" i="22" s="1"/>
  <c r="AP32" i="22"/>
  <c r="AQ25" i="22"/>
  <c r="CB10" i="22"/>
  <c r="CH10" i="22" s="1"/>
  <c r="AP6" i="25"/>
  <c r="AT6" i="25" s="1"/>
  <c r="AU6" i="25" s="1"/>
  <c r="AP15" i="25"/>
  <c r="BC15" i="25" s="1"/>
  <c r="BD15" i="25" s="1"/>
  <c r="AP25" i="25"/>
  <c r="AT25" i="25" s="1"/>
  <c r="AU25" i="25" s="1"/>
  <c r="AO4" i="24"/>
  <c r="EB7" i="24"/>
  <c r="M17" i="21" s="1"/>
  <c r="AQ51" i="23"/>
  <c r="AP51" i="23"/>
  <c r="AE15" i="23"/>
  <c r="AQ21" i="23"/>
  <c r="AP21" i="23"/>
  <c r="AP22" i="23"/>
  <c r="AQ22" i="23"/>
  <c r="AQ20" i="23"/>
  <c r="AP20" i="23"/>
  <c r="AQ11" i="23"/>
  <c r="AP11" i="23"/>
  <c r="AQ54" i="23"/>
  <c r="AP54" i="23"/>
  <c r="AQ15" i="23"/>
  <c r="AP15" i="23"/>
  <c r="AQ48" i="23"/>
  <c r="AP48" i="23"/>
  <c r="AQ31" i="23"/>
  <c r="AP31" i="23"/>
  <c r="AQ33" i="23"/>
  <c r="AP33" i="23"/>
  <c r="AQ25" i="23"/>
  <c r="AP25" i="23"/>
  <c r="AQ26" i="23"/>
  <c r="AP26" i="23"/>
  <c r="AQ40" i="23"/>
  <c r="AP40" i="23"/>
  <c r="AP10" i="23"/>
  <c r="AQ10" i="23"/>
  <c r="AQ23" i="23"/>
  <c r="AP23" i="23"/>
  <c r="AP45" i="23"/>
  <c r="AQ45" i="23"/>
  <c r="AP19" i="23"/>
  <c r="AQ19" i="23"/>
  <c r="AQ9" i="23"/>
  <c r="AP9" i="23"/>
  <c r="AQ30" i="23"/>
  <c r="AP30" i="23"/>
  <c r="AQ44" i="23"/>
  <c r="AP44" i="23"/>
  <c r="AP13" i="23"/>
  <c r="AQ13" i="23"/>
  <c r="AQ35" i="23"/>
  <c r="AP35" i="23"/>
  <c r="AQ46" i="23"/>
  <c r="AP46" i="23"/>
  <c r="AQ6" i="23"/>
  <c r="AP6" i="23"/>
  <c r="AQ18" i="23"/>
  <c r="AP18" i="23"/>
  <c r="AQ43" i="23"/>
  <c r="AP43" i="23"/>
  <c r="CO10" i="23"/>
  <c r="AT32" i="23"/>
  <c r="AU32" i="23" s="1"/>
  <c r="BC32" i="23"/>
  <c r="BD32" i="23" s="1"/>
  <c r="AQ34" i="23"/>
  <c r="AP34" i="23"/>
  <c r="AP16" i="23"/>
  <c r="AQ16" i="23"/>
  <c r="AQ47" i="23"/>
  <c r="AP47" i="23"/>
  <c r="AQ29" i="23"/>
  <c r="AP29" i="23"/>
  <c r="AQ38" i="23"/>
  <c r="AP38" i="23"/>
  <c r="AP39" i="23"/>
  <c r="AQ39" i="23"/>
  <c r="AP14" i="23"/>
  <c r="AQ14" i="23"/>
  <c r="AQ50" i="23"/>
  <c r="AP50" i="23"/>
  <c r="AQ12" i="23"/>
  <c r="AP12" i="23"/>
  <c r="AT28" i="23"/>
  <c r="AU28" i="23" s="1"/>
  <c r="BC28" i="23"/>
  <c r="BD28" i="23" s="1"/>
  <c r="AP42" i="23"/>
  <c r="AQ42" i="23"/>
  <c r="AP24" i="23"/>
  <c r="AQ24" i="23"/>
  <c r="AQ17" i="23"/>
  <c r="AP17" i="23"/>
  <c r="AP37" i="23"/>
  <c r="AQ37" i="23"/>
  <c r="AQ55" i="23"/>
  <c r="AP55" i="23"/>
  <c r="AQ7" i="23"/>
  <c r="AP7" i="23"/>
  <c r="AQ27" i="23"/>
  <c r="AP27" i="23"/>
  <c r="AP49" i="23"/>
  <c r="AQ49" i="23"/>
  <c r="AQ8" i="23"/>
  <c r="AP8" i="23"/>
  <c r="AQ53" i="23"/>
  <c r="AP53" i="23"/>
  <c r="AQ41" i="23"/>
  <c r="AP41" i="23"/>
  <c r="AQ52" i="23"/>
  <c r="AP52" i="23"/>
  <c r="EB8" i="23"/>
  <c r="EB7" i="23"/>
  <c r="EL10" i="23"/>
  <c r="D24" i="21" s="1"/>
  <c r="AP40" i="22"/>
  <c r="AT40" i="22" s="1"/>
  <c r="AU40" i="22" s="1"/>
  <c r="AQ51" i="22"/>
  <c r="CB32" i="22"/>
  <c r="CH32" i="22" s="1"/>
  <c r="CB9" i="22"/>
  <c r="CH9" i="22" s="1"/>
  <c r="AP20" i="25"/>
  <c r="AQ20" i="25"/>
  <c r="AQ18" i="25"/>
  <c r="AP18" i="25"/>
  <c r="AQ29" i="25"/>
  <c r="AP29" i="25"/>
  <c r="AT8" i="25"/>
  <c r="AU8" i="25" s="1"/>
  <c r="BC8" i="25"/>
  <c r="BD8" i="25" s="1"/>
  <c r="AQ44" i="25"/>
  <c r="AP44" i="25"/>
  <c r="AP9" i="25"/>
  <c r="AQ9" i="25"/>
  <c r="AQ33" i="25"/>
  <c r="AP33" i="25"/>
  <c r="AQ7" i="25"/>
  <c r="AP7" i="25"/>
  <c r="AQ22" i="25"/>
  <c r="AP22" i="25"/>
  <c r="AQ55" i="25"/>
  <c r="AP55" i="25"/>
  <c r="AQ51" i="25"/>
  <c r="AP51" i="25"/>
  <c r="EL10" i="25"/>
  <c r="F24" i="21" s="1"/>
  <c r="BC25" i="25"/>
  <c r="BD25" i="25" s="1"/>
  <c r="AT10" i="25"/>
  <c r="AU10" i="25" s="1"/>
  <c r="BC10" i="25"/>
  <c r="BD10" i="25" s="1"/>
  <c r="AP11" i="25"/>
  <c r="AQ11" i="25"/>
  <c r="AQ53" i="25"/>
  <c r="AP53" i="25"/>
  <c r="AT39" i="25"/>
  <c r="AU39" i="25" s="1"/>
  <c r="BC39" i="25"/>
  <c r="BD39" i="25" s="1"/>
  <c r="AQ47" i="25"/>
  <c r="AP47" i="25"/>
  <c r="AQ32" i="25"/>
  <c r="AP32" i="25"/>
  <c r="AT15" i="25"/>
  <c r="AU15" i="25" s="1"/>
  <c r="AQ24" i="25"/>
  <c r="AP24" i="25"/>
  <c r="EB7" i="25"/>
  <c r="N17" i="21" s="1"/>
  <c r="AQ50" i="25"/>
  <c r="AP50" i="25"/>
  <c r="AP12" i="25"/>
  <c r="AQ12" i="25"/>
  <c r="AQ38" i="25"/>
  <c r="AP38" i="25"/>
  <c r="AQ36" i="25"/>
  <c r="AP36" i="25"/>
  <c r="AP49" i="25"/>
  <c r="AQ49" i="25"/>
  <c r="AT16" i="25"/>
  <c r="AU16" i="25" s="1"/>
  <c r="BC16" i="25"/>
  <c r="BD16" i="25" s="1"/>
  <c r="AP34" i="25"/>
  <c r="AQ34" i="25"/>
  <c r="AQ28" i="25"/>
  <c r="AP28" i="25"/>
  <c r="AQ48" i="25"/>
  <c r="AP48" i="25"/>
  <c r="AT35" i="25"/>
  <c r="AU35" i="25" s="1"/>
  <c r="BC35" i="25"/>
  <c r="BD35" i="25" s="1"/>
  <c r="AQ42" i="25"/>
  <c r="AP42" i="25"/>
  <c r="AQ26" i="25"/>
  <c r="AP26" i="25"/>
  <c r="AP19" i="25"/>
  <c r="AQ19" i="25"/>
  <c r="AQ46" i="25"/>
  <c r="AP46" i="25"/>
  <c r="AP17" i="25"/>
  <c r="AQ17" i="25"/>
  <c r="AE15" i="25"/>
  <c r="AQ43" i="25"/>
  <c r="AP43" i="25"/>
  <c r="AQ23" i="25"/>
  <c r="AP23" i="25"/>
  <c r="DL6" i="25"/>
  <c r="DL10" i="25"/>
  <c r="DL12" i="25"/>
  <c r="DL9" i="25"/>
  <c r="DL5" i="25"/>
  <c r="DL8" i="25"/>
  <c r="DL28" i="25"/>
  <c r="DL29" i="25"/>
  <c r="DL7" i="25"/>
  <c r="DL22" i="25"/>
  <c r="DL27" i="25"/>
  <c r="DL19" i="25"/>
  <c r="DL23" i="25"/>
  <c r="DL25" i="25"/>
  <c r="DL21" i="25"/>
  <c r="DL11" i="25"/>
  <c r="DL17" i="25"/>
  <c r="DL13" i="25"/>
  <c r="DL20" i="25"/>
  <c r="DL24" i="25"/>
  <c r="DL15" i="25"/>
  <c r="DL14" i="25"/>
  <c r="DL18" i="25"/>
  <c r="DL26" i="25"/>
  <c r="DL16" i="25"/>
  <c r="AQ52" i="25"/>
  <c r="AP52" i="25"/>
  <c r="AQ21" i="25"/>
  <c r="AP21" i="25"/>
  <c r="AP31" i="25"/>
  <c r="AQ31" i="25"/>
  <c r="BC54" i="25"/>
  <c r="BD54" i="25" s="1"/>
  <c r="AT54" i="25"/>
  <c r="AU54" i="25" s="1"/>
  <c r="AQ13" i="25"/>
  <c r="AP13" i="25"/>
  <c r="AQ41" i="25"/>
  <c r="AP41" i="25"/>
  <c r="BC14" i="25"/>
  <c r="BD14" i="25" s="1"/>
  <c r="AT14" i="25"/>
  <c r="AU14" i="25" s="1"/>
  <c r="AQ45" i="25"/>
  <c r="AP45" i="25"/>
  <c r="AT30" i="25"/>
  <c r="AU30" i="25" s="1"/>
  <c r="BC30" i="25"/>
  <c r="BD30" i="25" s="1"/>
  <c r="AQ38" i="24"/>
  <c r="AP38" i="24"/>
  <c r="AQ7" i="24"/>
  <c r="AP7" i="24"/>
  <c r="CO21" i="24"/>
  <c r="CO22" i="24" s="1"/>
  <c r="CO17" i="24"/>
  <c r="AQ30" i="24"/>
  <c r="AP30" i="24"/>
  <c r="BC8" i="24"/>
  <c r="BD8" i="24" s="1"/>
  <c r="AT8" i="24"/>
  <c r="AU8" i="24" s="1"/>
  <c r="AQ15" i="24"/>
  <c r="AP15" i="24"/>
  <c r="AQ53" i="24"/>
  <c r="AP53" i="24"/>
  <c r="AP54" i="24"/>
  <c r="AQ54" i="24"/>
  <c r="AQ31" i="24"/>
  <c r="AP31" i="24"/>
  <c r="AQ35" i="24"/>
  <c r="AP35" i="24"/>
  <c r="AQ16" i="24"/>
  <c r="AP16" i="24"/>
  <c r="AQ10" i="24"/>
  <c r="AP10" i="24"/>
  <c r="AQ40" i="24"/>
  <c r="AP40" i="24"/>
  <c r="AP6" i="24"/>
  <c r="AQ6" i="24"/>
  <c r="AQ45" i="24"/>
  <c r="AP45" i="24"/>
  <c r="BC19" i="24"/>
  <c r="BD19" i="24" s="1"/>
  <c r="AT19" i="24"/>
  <c r="AU19" i="24" s="1"/>
  <c r="AQ23" i="24"/>
  <c r="AP23" i="24"/>
  <c r="AQ25" i="24"/>
  <c r="AP25" i="24"/>
  <c r="AQ33" i="24"/>
  <c r="AP33" i="24"/>
  <c r="AQ43" i="24"/>
  <c r="AP43" i="24"/>
  <c r="AQ34" i="24"/>
  <c r="AP34" i="24"/>
  <c r="AQ17" i="24"/>
  <c r="AP17" i="24"/>
  <c r="AQ50" i="24"/>
  <c r="AP50" i="24"/>
  <c r="AQ21" i="24"/>
  <c r="AP21" i="24"/>
  <c r="AQ48" i="24"/>
  <c r="AP48" i="24"/>
  <c r="AP12" i="24"/>
  <c r="AQ12" i="24"/>
  <c r="AQ22" i="24"/>
  <c r="AP22" i="24"/>
  <c r="AQ44" i="24"/>
  <c r="AP44" i="24"/>
  <c r="AQ11" i="24"/>
  <c r="AP11" i="24"/>
  <c r="EL10" i="24"/>
  <c r="E24" i="21" s="1"/>
  <c r="AQ55" i="24"/>
  <c r="AP55" i="24"/>
  <c r="BC27" i="24"/>
  <c r="BD27" i="24" s="1"/>
  <c r="AT27" i="24"/>
  <c r="AU27" i="24" s="1"/>
  <c r="AQ47" i="24"/>
  <c r="AP47" i="24"/>
  <c r="AQ49" i="24"/>
  <c r="AP49" i="24"/>
  <c r="AQ41" i="24"/>
  <c r="AP41" i="24"/>
  <c r="AQ13" i="24"/>
  <c r="AP13" i="24"/>
  <c r="AQ36" i="24"/>
  <c r="AP36" i="24"/>
  <c r="AQ52" i="24"/>
  <c r="AP52" i="24"/>
  <c r="AQ42" i="24"/>
  <c r="AP42" i="24"/>
  <c r="AQ20" i="24"/>
  <c r="AP20" i="24"/>
  <c r="AQ29" i="24"/>
  <c r="AP29" i="24"/>
  <c r="AQ18" i="24"/>
  <c r="AP18" i="24"/>
  <c r="AP51" i="24"/>
  <c r="AQ51" i="24"/>
  <c r="AQ32" i="24"/>
  <c r="AP32" i="24"/>
  <c r="AQ9" i="24"/>
  <c r="AP9" i="24"/>
  <c r="AT24" i="24"/>
  <c r="AU24" i="24" s="1"/>
  <c r="BC24" i="24"/>
  <c r="BD24" i="24" s="1"/>
  <c r="AQ39" i="24"/>
  <c r="AP39" i="24"/>
  <c r="AQ46" i="24"/>
  <c r="AP46" i="24"/>
  <c r="AQ28" i="24"/>
  <c r="AP28" i="24"/>
  <c r="AQ26" i="24"/>
  <c r="AP26" i="24"/>
  <c r="AQ37" i="24"/>
  <c r="AP37" i="24"/>
  <c r="AQ14" i="24"/>
  <c r="AP14" i="24"/>
  <c r="AQ17" i="22"/>
  <c r="AP17" i="22"/>
  <c r="AQ31" i="22"/>
  <c r="AP31" i="22"/>
  <c r="AQ26" i="22"/>
  <c r="AP26" i="22"/>
  <c r="AQ52" i="22"/>
  <c r="AP52" i="22"/>
  <c r="AQ55" i="22"/>
  <c r="AP55" i="22"/>
  <c r="AQ23" i="22"/>
  <c r="AP23" i="22"/>
  <c r="AQ22" i="22"/>
  <c r="AP22" i="22"/>
  <c r="AQ9" i="22"/>
  <c r="AP9" i="22"/>
  <c r="AQ10" i="22"/>
  <c r="AP10" i="22"/>
  <c r="AQ12" i="22"/>
  <c r="AP12" i="22"/>
  <c r="AQ28" i="22"/>
  <c r="AP28" i="22"/>
  <c r="AQ20" i="22"/>
  <c r="AP20" i="22"/>
  <c r="AQ47" i="22"/>
  <c r="AP47" i="22"/>
  <c r="AQ46" i="22"/>
  <c r="AP46" i="22"/>
  <c r="AQ38" i="22"/>
  <c r="AP38" i="22"/>
  <c r="BC49" i="22"/>
  <c r="BD49" i="22" s="1"/>
  <c r="AT49" i="22"/>
  <c r="AU49" i="22" s="1"/>
  <c r="AT35" i="22"/>
  <c r="AU35" i="22" s="1"/>
  <c r="BC35" i="22"/>
  <c r="BD35" i="22" s="1"/>
  <c r="AQ54" i="22"/>
  <c r="AP54" i="22"/>
  <c r="AQ21" i="22"/>
  <c r="AP21" i="22"/>
  <c r="AT39" i="22"/>
  <c r="AU39" i="22" s="1"/>
  <c r="BC39" i="22"/>
  <c r="BD39" i="22" s="1"/>
  <c r="AQ29" i="22"/>
  <c r="AP29" i="22"/>
  <c r="AQ53" i="22"/>
  <c r="AP53" i="22"/>
  <c r="AQ11" i="22"/>
  <c r="AP11" i="22"/>
  <c r="AT18" i="22"/>
  <c r="AU18" i="22" s="1"/>
  <c r="BC18" i="22"/>
  <c r="BD18" i="22" s="1"/>
  <c r="CB28" i="22"/>
  <c r="CH28" i="22" s="1"/>
  <c r="CB29" i="22"/>
  <c r="CH29" i="22" s="1"/>
  <c r="CB30" i="22"/>
  <c r="CH30" i="22" s="1"/>
  <c r="CO10" i="22"/>
  <c r="AQ36" i="22"/>
  <c r="AP36" i="22"/>
  <c r="AQ6" i="22"/>
  <c r="AP6" i="22"/>
  <c r="AT41" i="22"/>
  <c r="AU41" i="22" s="1"/>
  <c r="CB19" i="22"/>
  <c r="CH19" i="22" s="1"/>
  <c r="CB22" i="22"/>
  <c r="CH22" i="22" s="1"/>
  <c r="CB18" i="22"/>
  <c r="CH18" i="22" s="1"/>
  <c r="CB17" i="22"/>
  <c r="CH17" i="22" s="1"/>
  <c r="AQ15" i="22"/>
  <c r="AP15" i="22"/>
  <c r="AT13" i="22"/>
  <c r="AU13" i="22" s="1"/>
  <c r="BC13" i="22"/>
  <c r="BD13" i="22" s="1"/>
  <c r="AQ30" i="22"/>
  <c r="AP30" i="22"/>
  <c r="AQ50" i="22"/>
  <c r="AP50" i="22"/>
  <c r="AP19" i="22"/>
  <c r="AQ19" i="22"/>
  <c r="BC51" i="22"/>
  <c r="BD51" i="22" s="1"/>
  <c r="AT51" i="22"/>
  <c r="AU51" i="22" s="1"/>
  <c r="AQ48" i="22"/>
  <c r="AP48" i="22"/>
  <c r="AQ8" i="22"/>
  <c r="AP8" i="22"/>
  <c r="AQ14" i="22"/>
  <c r="AP14" i="22"/>
  <c r="BC27" i="22"/>
  <c r="BD27" i="22" s="1"/>
  <c r="AT27" i="22"/>
  <c r="AU27" i="22" s="1"/>
  <c r="AT42" i="22"/>
  <c r="AU42" i="22" s="1"/>
  <c r="BC42" i="22"/>
  <c r="BD42" i="22" s="1"/>
  <c r="AT16" i="22"/>
  <c r="AU16" i="22" s="1"/>
  <c r="BC16" i="22"/>
  <c r="BD16" i="22" s="1"/>
  <c r="AQ37" i="22"/>
  <c r="AP37" i="22"/>
  <c r="AT32" i="22"/>
  <c r="AU32" i="22" s="1"/>
  <c r="BC32" i="22"/>
  <c r="BD32" i="22" s="1"/>
  <c r="BC40" i="22"/>
  <c r="BD40" i="22" s="1"/>
  <c r="AQ44" i="22"/>
  <c r="AP44" i="22"/>
  <c r="AT45" i="22"/>
  <c r="AU45" i="22" s="1"/>
  <c r="BC45" i="22"/>
  <c r="BD45" i="22" s="1"/>
  <c r="AQ24" i="22"/>
  <c r="AP24" i="22"/>
  <c r="BC25" i="22"/>
  <c r="BD25" i="22" s="1"/>
  <c r="AT25" i="22"/>
  <c r="AU25" i="22" s="1"/>
  <c r="AP34" i="22"/>
  <c r="AQ34" i="22"/>
  <c r="AT7" i="22"/>
  <c r="AU7" i="22" s="1"/>
  <c r="BC7" i="22"/>
  <c r="BD7" i="22" s="1"/>
  <c r="AQ33" i="22"/>
  <c r="AP33" i="22"/>
  <c r="AQ43" i="22"/>
  <c r="AP43" i="22"/>
  <c r="AW40" i="11"/>
  <c r="AY16" i="11"/>
  <c r="BA43" i="11"/>
  <c r="BA31" i="11"/>
  <c r="BB31" i="11"/>
  <c r="BA16" i="11"/>
  <c r="BD16" i="11"/>
  <c r="AY10" i="11"/>
  <c r="BB16" i="11"/>
  <c r="BB43" i="11"/>
  <c r="AY46" i="11"/>
  <c r="AY34" i="11"/>
  <c r="AY22" i="11"/>
  <c r="BD46" i="11"/>
  <c r="AX42" i="11"/>
  <c r="AZ42" i="11" s="1"/>
  <c r="AY43" i="11"/>
  <c r="AX30" i="11"/>
  <c r="AZ30" i="11" s="1"/>
  <c r="AX29" i="11"/>
  <c r="AZ29" i="11" s="1"/>
  <c r="AX17" i="11"/>
  <c r="AX18" i="11"/>
  <c r="AZ18" i="11" s="1"/>
  <c r="AX41" i="11"/>
  <c r="AZ41" i="11" s="1"/>
  <c r="BD31" i="11"/>
  <c r="AX40" i="11"/>
  <c r="AZ40" i="11" s="1"/>
  <c r="BA46" i="11"/>
  <c r="BB46" i="11"/>
  <c r="AX28" i="11"/>
  <c r="AZ28" i="11" s="1"/>
  <c r="AY31" i="11"/>
  <c r="AX25" i="11"/>
  <c r="BD43" i="11"/>
  <c r="AX7" i="11"/>
  <c r="AZ7" i="11" s="1"/>
  <c r="AW41" i="11"/>
  <c r="AW42" i="11"/>
  <c r="AW30" i="11"/>
  <c r="AW18" i="11"/>
  <c r="AW29" i="11"/>
  <c r="AV9" i="11"/>
  <c r="AW17" i="11"/>
  <c r="AV44" i="11"/>
  <c r="AW28" i="11"/>
  <c r="AV32" i="11"/>
  <c r="AW25" i="11"/>
  <c r="AV6" i="11"/>
  <c r="AU44" i="11"/>
  <c r="AU9" i="11"/>
  <c r="AU32" i="11"/>
  <c r="AU20" i="11"/>
  <c r="AU6" i="11"/>
  <c r="AS57" i="11"/>
  <c r="AS58" i="11"/>
  <c r="AS56" i="11"/>
  <c r="DZ12" i="11"/>
  <c r="CF13" i="11"/>
  <c r="CG7" i="11"/>
  <c r="CG6" i="11"/>
  <c r="CG28" i="11"/>
  <c r="CG42" i="11"/>
  <c r="CG52" i="11"/>
  <c r="CG43" i="11"/>
  <c r="CG23" i="11"/>
  <c r="CG33" i="11"/>
  <c r="CG13" i="11"/>
  <c r="CO5" i="11" s="1"/>
  <c r="CG45" i="11"/>
  <c r="CG44" i="11"/>
  <c r="CG54" i="11"/>
  <c r="CG56" i="11"/>
  <c r="CG12" i="11"/>
  <c r="CG22" i="11"/>
  <c r="CG39" i="11"/>
  <c r="CG8" i="11"/>
  <c r="CG19" i="11"/>
  <c r="CG31" i="11"/>
  <c r="CG35" i="11"/>
  <c r="CO7" i="11" s="1"/>
  <c r="CG9" i="11"/>
  <c r="CG17" i="11"/>
  <c r="CG18" i="11"/>
  <c r="CG20" i="11"/>
  <c r="CG21" i="11"/>
  <c r="CG41" i="11"/>
  <c r="CG51" i="11"/>
  <c r="CG29" i="11"/>
  <c r="CG10" i="11"/>
  <c r="CG30" i="11"/>
  <c r="CG40" i="11"/>
  <c r="CG50" i="11"/>
  <c r="EB19" i="11"/>
  <c r="CG11" i="11"/>
  <c r="CG32" i="11"/>
  <c r="CG57" i="11"/>
  <c r="CO9" i="11" s="1"/>
  <c r="CG34" i="11"/>
  <c r="CG53" i="11"/>
  <c r="CG46" i="11"/>
  <c r="CO8" i="11" s="1"/>
  <c r="CG24" i="11"/>
  <c r="CO6" i="11" s="1"/>
  <c r="CG55" i="11"/>
  <c r="AO6" i="11"/>
  <c r="AO7" i="11"/>
  <c r="AO31" i="11"/>
  <c r="AO20" i="11"/>
  <c r="AO21" i="11"/>
  <c r="AO22" i="11"/>
  <c r="AO41" i="11"/>
  <c r="AO47" i="11"/>
  <c r="AO51" i="11"/>
  <c r="AO9" i="11"/>
  <c r="AO19" i="11"/>
  <c r="AO33" i="11"/>
  <c r="AO35" i="11"/>
  <c r="AO29" i="11"/>
  <c r="AO40" i="11"/>
  <c r="AO11" i="11"/>
  <c r="AO14" i="11"/>
  <c r="AO17" i="11"/>
  <c r="AO18" i="11"/>
  <c r="AO27" i="11"/>
  <c r="AO43" i="11"/>
  <c r="AO48" i="11"/>
  <c r="AO53" i="11"/>
  <c r="AO16" i="11"/>
  <c r="AO36" i="11"/>
  <c r="AO12" i="11"/>
  <c r="AO30" i="11"/>
  <c r="AO49" i="11"/>
  <c r="AO50" i="11"/>
  <c r="AO8" i="11"/>
  <c r="AO13" i="11"/>
  <c r="AO25" i="11"/>
  <c r="AO45" i="11"/>
  <c r="AO55" i="11"/>
  <c r="AO32" i="11"/>
  <c r="AO26" i="11"/>
  <c r="AO37" i="11"/>
  <c r="AO42" i="11"/>
  <c r="AO52" i="11"/>
  <c r="AO34" i="11"/>
  <c r="AO10" i="11"/>
  <c r="AO44" i="11"/>
  <c r="AO15" i="11"/>
  <c r="AO23" i="11"/>
  <c r="AO46" i="11"/>
  <c r="AO54" i="11"/>
  <c r="AO28" i="11"/>
  <c r="AO24" i="11"/>
  <c r="AO38" i="11"/>
  <c r="AO39" i="11"/>
  <c r="AE5" i="11"/>
  <c r="AD15" i="11"/>
  <c r="CF24" i="11"/>
  <c r="EB17" i="11"/>
  <c r="G3" i="12" a="1"/>
  <c r="G3" i="12" s="1"/>
  <c r="G6" i="12" a="1"/>
  <c r="G6" i="12" s="1"/>
  <c r="L23" i="13"/>
  <c r="K23" i="13"/>
  <c r="D13" i="12"/>
  <c r="BS11" i="16"/>
  <c r="BR11" i="16"/>
  <c r="BS10" i="16"/>
  <c r="BR10" i="16"/>
  <c r="BR9" i="16"/>
  <c r="BS9" i="16" s="1"/>
  <c r="BR8" i="16"/>
  <c r="BS8" i="16" s="1"/>
  <c r="BR7" i="16"/>
  <c r="BS7" i="16" s="1"/>
  <c r="BA22" i="11" l="1"/>
  <c r="BD34" i="11"/>
  <c r="BA34" i="11"/>
  <c r="BB10" i="11"/>
  <c r="BA10" i="11"/>
  <c r="BB22" i="11"/>
  <c r="AZ17" i="11"/>
  <c r="BA17" i="11" s="1"/>
  <c r="AZ25" i="11"/>
  <c r="BA25" i="11" s="1"/>
  <c r="L17" i="21"/>
  <c r="AT27" i="25"/>
  <c r="AU27" i="25" s="1"/>
  <c r="BC40" i="25"/>
  <c r="BD40" i="25" s="1"/>
  <c r="AT37" i="25"/>
  <c r="AU37" i="25" s="1"/>
  <c r="AT36" i="23"/>
  <c r="AU36" i="23" s="1"/>
  <c r="CO17" i="25"/>
  <c r="BC6" i="25"/>
  <c r="BD6" i="25" s="1"/>
  <c r="AP4" i="25"/>
  <c r="EB9" i="24"/>
  <c r="BC14" i="23"/>
  <c r="BD14" i="23" s="1"/>
  <c r="AT14" i="23"/>
  <c r="AU14" i="23" s="1"/>
  <c r="AT20" i="23"/>
  <c r="AU20" i="23" s="1"/>
  <c r="BC20" i="23"/>
  <c r="BD20" i="23" s="1"/>
  <c r="AT45" i="23"/>
  <c r="AU45" i="23" s="1"/>
  <c r="BC45" i="23"/>
  <c r="BD45" i="23" s="1"/>
  <c r="BC24" i="23"/>
  <c r="BD24" i="23" s="1"/>
  <c r="AT24" i="23"/>
  <c r="AU24" i="23" s="1"/>
  <c r="AT7" i="23"/>
  <c r="AU7" i="23" s="1"/>
  <c r="BC7" i="23"/>
  <c r="BD7" i="23" s="1"/>
  <c r="AT38" i="23"/>
  <c r="AU38" i="23" s="1"/>
  <c r="BC38" i="23"/>
  <c r="BD38" i="23" s="1"/>
  <c r="BC13" i="23"/>
  <c r="BD13" i="23" s="1"/>
  <c r="AT13" i="23"/>
  <c r="AU13" i="23" s="1"/>
  <c r="BC22" i="23"/>
  <c r="BD22" i="23" s="1"/>
  <c r="AT22" i="23"/>
  <c r="AU22" i="23" s="1"/>
  <c r="AT30" i="23"/>
  <c r="AU30" i="23" s="1"/>
  <c r="BC30" i="23"/>
  <c r="BD30" i="23" s="1"/>
  <c r="BC12" i="23"/>
  <c r="BD12" i="23" s="1"/>
  <c r="AT12" i="23"/>
  <c r="AU12" i="23" s="1"/>
  <c r="BC41" i="23"/>
  <c r="BD41" i="23" s="1"/>
  <c r="AT41" i="23"/>
  <c r="AU41" i="23" s="1"/>
  <c r="BC27" i="23"/>
  <c r="BD27" i="23" s="1"/>
  <c r="AT27" i="23"/>
  <c r="AU27" i="23" s="1"/>
  <c r="BC35" i="23"/>
  <c r="BD35" i="23" s="1"/>
  <c r="AT35" i="23"/>
  <c r="AU35" i="23" s="1"/>
  <c r="AT33" i="23"/>
  <c r="AU33" i="23" s="1"/>
  <c r="BC33" i="23"/>
  <c r="BD33" i="23" s="1"/>
  <c r="AT42" i="23"/>
  <c r="AU42" i="23" s="1"/>
  <c r="BC42" i="23"/>
  <c r="BD42" i="23" s="1"/>
  <c r="AT39" i="23"/>
  <c r="AU39" i="23" s="1"/>
  <c r="BC39" i="23"/>
  <c r="BD39" i="23" s="1"/>
  <c r="AT23" i="23"/>
  <c r="AU23" i="23" s="1"/>
  <c r="BC23" i="23"/>
  <c r="BD23" i="23" s="1"/>
  <c r="AT31" i="23"/>
  <c r="AU31" i="23" s="1"/>
  <c r="BC31" i="23"/>
  <c r="BD31" i="23" s="1"/>
  <c r="CO21" i="23"/>
  <c r="CO22" i="23" s="1"/>
  <c r="CO17" i="23"/>
  <c r="BC53" i="23"/>
  <c r="BD53" i="23" s="1"/>
  <c r="AT53" i="23"/>
  <c r="AU53" i="23" s="1"/>
  <c r="AT43" i="23"/>
  <c r="AU43" i="23" s="1"/>
  <c r="BC43" i="23"/>
  <c r="BD43" i="23" s="1"/>
  <c r="BC44" i="23"/>
  <c r="BD44" i="23" s="1"/>
  <c r="AT44" i="23"/>
  <c r="AU44" i="23" s="1"/>
  <c r="AT48" i="23"/>
  <c r="AU48" i="23" s="1"/>
  <c r="BC48" i="23"/>
  <c r="BD48" i="23" s="1"/>
  <c r="BC21" i="23"/>
  <c r="BD21" i="23" s="1"/>
  <c r="AT21" i="23"/>
  <c r="AU21" i="23" s="1"/>
  <c r="AT55" i="23"/>
  <c r="AU55" i="23" s="1"/>
  <c r="BC55" i="23"/>
  <c r="BD55" i="23" s="1"/>
  <c r="AT29" i="23"/>
  <c r="AU29" i="23" s="1"/>
  <c r="BC29" i="23"/>
  <c r="BD29" i="23" s="1"/>
  <c r="AT10" i="23"/>
  <c r="AU10" i="23" s="1"/>
  <c r="BC10" i="23"/>
  <c r="BD10" i="23" s="1"/>
  <c r="AT8" i="23"/>
  <c r="AU8" i="23" s="1"/>
  <c r="BC8" i="23"/>
  <c r="BD8" i="23" s="1"/>
  <c r="BC15" i="23"/>
  <c r="BD15" i="23" s="1"/>
  <c r="AT15" i="23"/>
  <c r="AU15" i="23" s="1"/>
  <c r="AT47" i="23"/>
  <c r="AU47" i="23" s="1"/>
  <c r="BC47" i="23"/>
  <c r="BD47" i="23" s="1"/>
  <c r="AT18" i="23"/>
  <c r="AU18" i="23" s="1"/>
  <c r="BC18" i="23"/>
  <c r="BD18" i="23" s="1"/>
  <c r="AT9" i="23"/>
  <c r="AU9" i="23" s="1"/>
  <c r="BC9" i="23"/>
  <c r="BD9" i="23" s="1"/>
  <c r="AT40" i="23"/>
  <c r="AU40" i="23" s="1"/>
  <c r="BC40" i="23"/>
  <c r="BD40" i="23" s="1"/>
  <c r="BC37" i="23"/>
  <c r="BD37" i="23" s="1"/>
  <c r="AT37" i="23"/>
  <c r="AU37" i="23" s="1"/>
  <c r="BO2" i="23"/>
  <c r="AT6" i="23"/>
  <c r="AU6" i="23" s="1"/>
  <c r="AP4" i="23"/>
  <c r="BC6" i="23"/>
  <c r="BD6" i="23" s="1"/>
  <c r="BC26" i="23"/>
  <c r="BD26" i="23" s="1"/>
  <c r="AT26" i="23"/>
  <c r="AU26" i="23" s="1"/>
  <c r="BC54" i="23"/>
  <c r="BD54" i="23" s="1"/>
  <c r="AT54" i="23"/>
  <c r="AU54" i="23" s="1"/>
  <c r="EB9" i="23"/>
  <c r="BC49" i="23"/>
  <c r="BD49" i="23" s="1"/>
  <c r="AT49" i="23"/>
  <c r="AU49" i="23" s="1"/>
  <c r="AT17" i="23"/>
  <c r="AU17" i="23" s="1"/>
  <c r="BC17" i="23"/>
  <c r="BD17" i="23" s="1"/>
  <c r="BC50" i="23"/>
  <c r="BD50" i="23" s="1"/>
  <c r="AT50" i="23"/>
  <c r="AU50" i="23" s="1"/>
  <c r="DL28" i="23"/>
  <c r="DL23" i="23"/>
  <c r="DL18" i="23"/>
  <c r="DL22" i="23"/>
  <c r="DL9" i="23"/>
  <c r="DL8" i="23"/>
  <c r="DL11" i="23"/>
  <c r="DL5" i="23"/>
  <c r="DL7" i="23"/>
  <c r="DL17" i="23"/>
  <c r="DL15" i="23"/>
  <c r="DL21" i="23"/>
  <c r="DL29" i="23"/>
  <c r="DL10" i="23"/>
  <c r="DL16" i="23"/>
  <c r="DL6" i="23"/>
  <c r="DL20" i="23"/>
  <c r="DL27" i="23"/>
  <c r="DL26" i="23"/>
  <c r="DL25" i="23"/>
  <c r="DL12" i="23"/>
  <c r="DL19" i="23"/>
  <c r="DL13" i="23"/>
  <c r="DL24" i="23"/>
  <c r="DL14" i="23"/>
  <c r="AT52" i="23"/>
  <c r="AU52" i="23" s="1"/>
  <c r="BC52" i="23"/>
  <c r="BD52" i="23" s="1"/>
  <c r="BC16" i="23"/>
  <c r="BD16" i="23" s="1"/>
  <c r="AT16" i="23"/>
  <c r="AU16" i="23" s="1"/>
  <c r="AT46" i="23"/>
  <c r="AU46" i="23" s="1"/>
  <c r="BC46" i="23"/>
  <c r="BD46" i="23" s="1"/>
  <c r="BC25" i="23"/>
  <c r="BD25" i="23" s="1"/>
  <c r="AT25" i="23"/>
  <c r="AU25" i="23" s="1"/>
  <c r="AT11" i="23"/>
  <c r="AU11" i="23" s="1"/>
  <c r="BC11" i="23"/>
  <c r="BD11" i="23" s="1"/>
  <c r="BC51" i="23"/>
  <c r="BD51" i="23" s="1"/>
  <c r="AT51" i="23"/>
  <c r="AU51" i="23" s="1"/>
  <c r="AT34" i="23"/>
  <c r="AU34" i="23" s="1"/>
  <c r="BC34" i="23"/>
  <c r="BD34" i="23" s="1"/>
  <c r="BC19" i="23"/>
  <c r="BD19" i="23" s="1"/>
  <c r="AT19" i="23"/>
  <c r="AU19" i="23" s="1"/>
  <c r="BC31" i="25"/>
  <c r="BD31" i="25" s="1"/>
  <c r="AT31" i="25"/>
  <c r="AU31" i="25" s="1"/>
  <c r="BC49" i="25"/>
  <c r="BD49" i="25" s="1"/>
  <c r="AT49" i="25"/>
  <c r="AU49" i="25" s="1"/>
  <c r="BC51" i="25"/>
  <c r="BD51" i="25" s="1"/>
  <c r="AT51" i="25"/>
  <c r="AU51" i="25" s="1"/>
  <c r="BC41" i="25"/>
  <c r="BD41" i="25" s="1"/>
  <c r="AT41" i="25"/>
  <c r="AU41" i="25" s="1"/>
  <c r="BO2" i="25"/>
  <c r="AT28" i="25"/>
  <c r="AU28" i="25" s="1"/>
  <c r="BC28" i="25"/>
  <c r="BD28" i="25" s="1"/>
  <c r="BC36" i="25"/>
  <c r="BD36" i="25" s="1"/>
  <c r="AT36" i="25"/>
  <c r="AU36" i="25" s="1"/>
  <c r="BC44" i="25"/>
  <c r="BD44" i="25" s="1"/>
  <c r="AT44" i="25"/>
  <c r="AU44" i="25" s="1"/>
  <c r="AT11" i="25"/>
  <c r="AU11" i="25" s="1"/>
  <c r="BC11" i="25"/>
  <c r="BD11" i="25" s="1"/>
  <c r="AT55" i="25"/>
  <c r="AU55" i="25" s="1"/>
  <c r="BC55" i="25"/>
  <c r="BD55" i="25" s="1"/>
  <c r="AT13" i="25"/>
  <c r="AU13" i="25" s="1"/>
  <c r="BC13" i="25"/>
  <c r="BD13" i="25" s="1"/>
  <c r="BC21" i="25"/>
  <c r="BD21" i="25" s="1"/>
  <c r="AT21" i="25"/>
  <c r="AU21" i="25" s="1"/>
  <c r="AT17" i="25"/>
  <c r="AU17" i="25" s="1"/>
  <c r="BC17" i="25"/>
  <c r="BD17" i="25" s="1"/>
  <c r="AT38" i="25"/>
  <c r="AU38" i="25" s="1"/>
  <c r="BC38" i="25"/>
  <c r="BD38" i="25" s="1"/>
  <c r="AT32" i="25"/>
  <c r="AU32" i="25" s="1"/>
  <c r="BC32" i="25"/>
  <c r="BD32" i="25" s="1"/>
  <c r="BC46" i="25"/>
  <c r="BD46" i="25" s="1"/>
  <c r="AT46" i="25"/>
  <c r="AU46" i="25" s="1"/>
  <c r="BC34" i="25"/>
  <c r="BD34" i="25" s="1"/>
  <c r="AT34" i="25"/>
  <c r="AU34" i="25" s="1"/>
  <c r="BC22" i="25"/>
  <c r="BD22" i="25" s="1"/>
  <c r="AT22" i="25"/>
  <c r="AU22" i="25" s="1"/>
  <c r="AT52" i="25"/>
  <c r="AU52" i="25" s="1"/>
  <c r="BC52" i="25"/>
  <c r="BD52" i="25" s="1"/>
  <c r="AT26" i="25"/>
  <c r="AU26" i="25" s="1"/>
  <c r="BC26" i="25"/>
  <c r="BD26" i="25" s="1"/>
  <c r="AT47" i="25"/>
  <c r="AU47" i="25" s="1"/>
  <c r="BC47" i="25"/>
  <c r="BD47" i="25" s="1"/>
  <c r="BC12" i="25"/>
  <c r="BD12" i="25" s="1"/>
  <c r="AT12" i="25"/>
  <c r="AU12" i="25" s="1"/>
  <c r="BC7" i="25"/>
  <c r="BD7" i="25" s="1"/>
  <c r="AT7" i="25"/>
  <c r="AU7" i="25" s="1"/>
  <c r="AT29" i="25"/>
  <c r="AU29" i="25" s="1"/>
  <c r="BC29" i="25"/>
  <c r="BD29" i="25" s="1"/>
  <c r="BC50" i="25"/>
  <c r="BD50" i="25" s="1"/>
  <c r="AT50" i="25"/>
  <c r="AU50" i="25" s="1"/>
  <c r="AT42" i="25"/>
  <c r="AU42" i="25" s="1"/>
  <c r="BC42" i="25"/>
  <c r="BD42" i="25" s="1"/>
  <c r="AT23" i="25"/>
  <c r="AU23" i="25" s="1"/>
  <c r="BC23" i="25"/>
  <c r="BD23" i="25" s="1"/>
  <c r="BC19" i="25"/>
  <c r="BD19" i="25" s="1"/>
  <c r="AT19" i="25"/>
  <c r="AU19" i="25" s="1"/>
  <c r="AT33" i="25"/>
  <c r="AU33" i="25" s="1"/>
  <c r="BC33" i="25"/>
  <c r="BD33" i="25" s="1"/>
  <c r="BC18" i="25"/>
  <c r="BD18" i="25" s="1"/>
  <c r="AT18" i="25"/>
  <c r="AU18" i="25" s="1"/>
  <c r="AT45" i="25"/>
  <c r="AU45" i="25" s="1"/>
  <c r="BC45" i="25"/>
  <c r="BD45" i="25" s="1"/>
  <c r="AT43" i="25"/>
  <c r="AU43" i="25" s="1"/>
  <c r="BC43" i="25"/>
  <c r="BD43" i="25" s="1"/>
  <c r="EB9" i="25"/>
  <c r="AT48" i="25"/>
  <c r="AU48" i="25" s="1"/>
  <c r="BC48" i="25"/>
  <c r="BD48" i="25" s="1"/>
  <c r="BC24" i="25"/>
  <c r="BD24" i="25" s="1"/>
  <c r="AT24" i="25"/>
  <c r="AU24" i="25" s="1"/>
  <c r="BC53" i="25"/>
  <c r="BD53" i="25" s="1"/>
  <c r="AT53" i="25"/>
  <c r="AU53" i="25" s="1"/>
  <c r="BC9" i="25"/>
  <c r="BD9" i="25" s="1"/>
  <c r="AT9" i="25"/>
  <c r="AU9" i="25" s="1"/>
  <c r="BC20" i="25"/>
  <c r="BD20" i="25" s="1"/>
  <c r="AT20" i="25"/>
  <c r="AU20" i="25" s="1"/>
  <c r="BC46" i="24"/>
  <c r="BD46" i="24" s="1"/>
  <c r="AT46" i="24"/>
  <c r="AU46" i="24" s="1"/>
  <c r="AT29" i="24"/>
  <c r="AU29" i="24" s="1"/>
  <c r="BC29" i="24"/>
  <c r="BD29" i="24" s="1"/>
  <c r="BC41" i="24"/>
  <c r="BD41" i="24" s="1"/>
  <c r="AT41" i="24"/>
  <c r="AU41" i="24" s="1"/>
  <c r="BC48" i="24"/>
  <c r="BD48" i="24" s="1"/>
  <c r="AT48" i="24"/>
  <c r="AU48" i="24" s="1"/>
  <c r="BC34" i="24"/>
  <c r="BD34" i="24" s="1"/>
  <c r="AT34" i="24"/>
  <c r="AU34" i="24" s="1"/>
  <c r="AT45" i="24"/>
  <c r="AU45" i="24" s="1"/>
  <c r="BC45" i="24"/>
  <c r="BD45" i="24" s="1"/>
  <c r="BC31" i="24"/>
  <c r="BD31" i="24" s="1"/>
  <c r="AT31" i="24"/>
  <c r="AU31" i="24" s="1"/>
  <c r="AT30" i="24"/>
  <c r="AU30" i="24" s="1"/>
  <c r="BC30" i="24"/>
  <c r="BD30" i="24" s="1"/>
  <c r="AT14" i="24"/>
  <c r="AU14" i="24" s="1"/>
  <c r="BC14" i="24"/>
  <c r="BD14" i="24" s="1"/>
  <c r="BC18" i="24"/>
  <c r="BD18" i="24" s="1"/>
  <c r="AT18" i="24"/>
  <c r="AU18" i="24" s="1"/>
  <c r="AT39" i="24"/>
  <c r="AU39" i="24" s="1"/>
  <c r="BC39" i="24"/>
  <c r="BD39" i="24" s="1"/>
  <c r="AT43" i="24"/>
  <c r="AU43" i="24" s="1"/>
  <c r="BC43" i="24"/>
  <c r="BD43" i="24" s="1"/>
  <c r="AT37" i="24"/>
  <c r="AU37" i="24" s="1"/>
  <c r="BC37" i="24"/>
  <c r="BD37" i="24" s="1"/>
  <c r="AT6" i="24"/>
  <c r="AU6" i="24" s="1"/>
  <c r="AP4" i="24"/>
  <c r="BC6" i="24"/>
  <c r="BD6" i="24" s="1"/>
  <c r="BO2" i="24"/>
  <c r="BC54" i="24"/>
  <c r="BD54" i="24" s="1"/>
  <c r="AT54" i="24"/>
  <c r="AU54" i="24" s="1"/>
  <c r="AT13" i="24"/>
  <c r="AU13" i="24" s="1"/>
  <c r="BC13" i="24"/>
  <c r="BD13" i="24" s="1"/>
  <c r="AT35" i="24"/>
  <c r="AU35" i="24" s="1"/>
  <c r="BC35" i="24"/>
  <c r="BD35" i="24" s="1"/>
  <c r="AT55" i="24"/>
  <c r="AU55" i="24" s="1"/>
  <c r="BC55" i="24"/>
  <c r="BD55" i="24" s="1"/>
  <c r="BC12" i="24"/>
  <c r="BD12" i="24" s="1"/>
  <c r="AT12" i="24"/>
  <c r="AU12" i="24" s="1"/>
  <c r="BC49" i="24"/>
  <c r="BD49" i="24" s="1"/>
  <c r="AT49" i="24"/>
  <c r="AU49" i="24" s="1"/>
  <c r="BC21" i="24"/>
  <c r="BD21" i="24" s="1"/>
  <c r="AT21" i="24"/>
  <c r="AU21" i="24" s="1"/>
  <c r="AT9" i="24"/>
  <c r="AU9" i="24" s="1"/>
  <c r="BC9" i="24"/>
  <c r="BD9" i="24" s="1"/>
  <c r="AT42" i="24"/>
  <c r="AU42" i="24" s="1"/>
  <c r="BC42" i="24"/>
  <c r="BD42" i="24" s="1"/>
  <c r="AT11" i="24"/>
  <c r="AU11" i="24" s="1"/>
  <c r="BC11" i="24"/>
  <c r="BD11" i="24" s="1"/>
  <c r="BC50" i="24"/>
  <c r="BD50" i="24" s="1"/>
  <c r="AT50" i="24"/>
  <c r="AU50" i="24" s="1"/>
  <c r="AT33" i="24"/>
  <c r="AU33" i="24" s="1"/>
  <c r="BC33" i="24"/>
  <c r="BD33" i="24" s="1"/>
  <c r="AT40" i="24"/>
  <c r="AU40" i="24" s="1"/>
  <c r="BC40" i="24"/>
  <c r="BD40" i="24" s="1"/>
  <c r="AT17" i="24"/>
  <c r="AU17" i="24" s="1"/>
  <c r="BC17" i="24"/>
  <c r="BD17" i="24" s="1"/>
  <c r="BC20" i="24"/>
  <c r="BD20" i="24" s="1"/>
  <c r="AT20" i="24"/>
  <c r="AU20" i="24" s="1"/>
  <c r="DL8" i="24"/>
  <c r="DL16" i="24"/>
  <c r="DL29" i="24"/>
  <c r="DL5" i="24"/>
  <c r="DL12" i="24"/>
  <c r="DL9" i="24"/>
  <c r="DL13" i="24"/>
  <c r="DL22" i="24"/>
  <c r="DL17" i="24"/>
  <c r="DL23" i="24"/>
  <c r="DL15" i="24"/>
  <c r="DL25" i="24"/>
  <c r="DL21" i="24"/>
  <c r="DL10" i="24"/>
  <c r="DL28" i="24"/>
  <c r="DL11" i="24"/>
  <c r="DL6" i="24"/>
  <c r="DL26" i="24"/>
  <c r="DL7" i="24"/>
  <c r="DL20" i="24"/>
  <c r="DL27" i="24"/>
  <c r="DL24" i="24"/>
  <c r="DL14" i="24"/>
  <c r="DL19" i="24"/>
  <c r="DL18" i="24"/>
  <c r="AT26" i="24"/>
  <c r="AU26" i="24" s="1"/>
  <c r="BC26" i="24"/>
  <c r="BD26" i="24" s="1"/>
  <c r="AT47" i="24"/>
  <c r="AU47" i="24" s="1"/>
  <c r="BC47" i="24"/>
  <c r="BD47" i="24" s="1"/>
  <c r="BC32" i="24"/>
  <c r="BD32" i="24" s="1"/>
  <c r="AT32" i="24"/>
  <c r="AU32" i="24" s="1"/>
  <c r="AT52" i="24"/>
  <c r="AU52" i="24" s="1"/>
  <c r="BC52" i="24"/>
  <c r="BD52" i="24" s="1"/>
  <c r="BC44" i="24"/>
  <c r="BD44" i="24" s="1"/>
  <c r="AT44" i="24"/>
  <c r="AU44" i="24" s="1"/>
  <c r="BC25" i="24"/>
  <c r="BD25" i="24" s="1"/>
  <c r="AT25" i="24"/>
  <c r="AU25" i="24" s="1"/>
  <c r="AT10" i="24"/>
  <c r="AU10" i="24" s="1"/>
  <c r="BC10" i="24"/>
  <c r="BD10" i="24" s="1"/>
  <c r="BC53" i="24"/>
  <c r="BD53" i="24" s="1"/>
  <c r="AT53" i="24"/>
  <c r="AU53" i="24" s="1"/>
  <c r="BC7" i="24"/>
  <c r="BD7" i="24" s="1"/>
  <c r="AT7" i="24"/>
  <c r="AU7" i="24" s="1"/>
  <c r="AT28" i="24"/>
  <c r="AU28" i="24" s="1"/>
  <c r="BC28" i="24"/>
  <c r="BD28" i="24" s="1"/>
  <c r="BC36" i="24"/>
  <c r="BD36" i="24" s="1"/>
  <c r="AT36" i="24"/>
  <c r="AU36" i="24" s="1"/>
  <c r="AT22" i="24"/>
  <c r="AU22" i="24" s="1"/>
  <c r="BC22" i="24"/>
  <c r="BD22" i="24" s="1"/>
  <c r="AT23" i="24"/>
  <c r="AU23" i="24" s="1"/>
  <c r="BC23" i="24"/>
  <c r="BD23" i="24" s="1"/>
  <c r="AT16" i="24"/>
  <c r="AU16" i="24" s="1"/>
  <c r="BC16" i="24"/>
  <c r="BD16" i="24" s="1"/>
  <c r="BC15" i="24"/>
  <c r="BD15" i="24" s="1"/>
  <c r="AT15" i="24"/>
  <c r="AU15" i="24" s="1"/>
  <c r="AT38" i="24"/>
  <c r="AU38" i="24" s="1"/>
  <c r="BC38" i="24"/>
  <c r="BD38" i="24" s="1"/>
  <c r="BC51" i="24"/>
  <c r="BD51" i="24" s="1"/>
  <c r="AT51" i="24"/>
  <c r="AU51" i="24" s="1"/>
  <c r="AT33" i="22"/>
  <c r="AU33" i="22" s="1"/>
  <c r="BC33" i="22"/>
  <c r="BD33" i="22" s="1"/>
  <c r="BC46" i="22"/>
  <c r="BD46" i="22" s="1"/>
  <c r="AT46" i="22"/>
  <c r="AU46" i="22" s="1"/>
  <c r="BC31" i="22"/>
  <c r="BD31" i="22" s="1"/>
  <c r="AT31" i="22"/>
  <c r="AU31" i="22" s="1"/>
  <c r="AT17" i="22"/>
  <c r="AU17" i="22" s="1"/>
  <c r="BC17" i="22"/>
  <c r="BD17" i="22" s="1"/>
  <c r="BC34" i="22"/>
  <c r="BD34" i="22" s="1"/>
  <c r="AT34" i="22"/>
  <c r="AU34" i="22" s="1"/>
  <c r="AT11" i="22"/>
  <c r="AU11" i="22" s="1"/>
  <c r="BC11" i="22"/>
  <c r="BD11" i="22" s="1"/>
  <c r="AT30" i="22"/>
  <c r="AU30" i="22" s="1"/>
  <c r="BC30" i="22"/>
  <c r="BD30" i="22" s="1"/>
  <c r="DL28" i="22"/>
  <c r="DL25" i="22"/>
  <c r="DL26" i="22"/>
  <c r="DL13" i="22"/>
  <c r="DL19" i="22"/>
  <c r="DL17" i="22"/>
  <c r="DL24" i="22"/>
  <c r="DL14" i="22"/>
  <c r="DL18" i="22"/>
  <c r="DL29" i="22"/>
  <c r="DL12" i="22"/>
  <c r="DL16" i="22"/>
  <c r="DL5" i="22"/>
  <c r="DL27" i="22"/>
  <c r="DL22" i="22"/>
  <c r="DL10" i="22"/>
  <c r="DL23" i="22"/>
  <c r="DL15" i="22"/>
  <c r="DL6" i="22"/>
  <c r="DL9" i="22"/>
  <c r="DL21" i="22"/>
  <c r="DL7" i="22"/>
  <c r="DL11" i="22"/>
  <c r="DL8" i="22"/>
  <c r="DL20" i="22"/>
  <c r="AT28" i="22"/>
  <c r="AU28" i="22" s="1"/>
  <c r="BC28" i="22"/>
  <c r="BD28" i="22" s="1"/>
  <c r="CO21" i="22"/>
  <c r="CO22" i="22" s="1"/>
  <c r="CO17" i="22"/>
  <c r="EB8" i="22"/>
  <c r="EB7" i="22"/>
  <c r="EL10" i="22"/>
  <c r="C24" i="21" s="1"/>
  <c r="AT9" i="22"/>
  <c r="AU9" i="22" s="1"/>
  <c r="BC9" i="22"/>
  <c r="BD9" i="22" s="1"/>
  <c r="AT47" i="22"/>
  <c r="AU47" i="22" s="1"/>
  <c r="BC47" i="22"/>
  <c r="BD47" i="22" s="1"/>
  <c r="BC14" i="22"/>
  <c r="BD14" i="22" s="1"/>
  <c r="AT14" i="22"/>
  <c r="AU14" i="22" s="1"/>
  <c r="BC50" i="22"/>
  <c r="BD50" i="22" s="1"/>
  <c r="AT50" i="22"/>
  <c r="AU50" i="22" s="1"/>
  <c r="BC20" i="22"/>
  <c r="BD20" i="22" s="1"/>
  <c r="AT20" i="22"/>
  <c r="AU20" i="22" s="1"/>
  <c r="AT23" i="22"/>
  <c r="AU23" i="22" s="1"/>
  <c r="BC23" i="22"/>
  <c r="BD23" i="22" s="1"/>
  <c r="BC24" i="22"/>
  <c r="BD24" i="22" s="1"/>
  <c r="AT24" i="22"/>
  <c r="AU24" i="22" s="1"/>
  <c r="BC37" i="22"/>
  <c r="BD37" i="22" s="1"/>
  <c r="AT37" i="22"/>
  <c r="AU37" i="22" s="1"/>
  <c r="AT8" i="22"/>
  <c r="AU8" i="22" s="1"/>
  <c r="BC8" i="22"/>
  <c r="BD8" i="22" s="1"/>
  <c r="BC36" i="22"/>
  <c r="BD36" i="22" s="1"/>
  <c r="AT36" i="22"/>
  <c r="AU36" i="22" s="1"/>
  <c r="AT55" i="22"/>
  <c r="AU55" i="22" s="1"/>
  <c r="BC55" i="22"/>
  <c r="BD55" i="22" s="1"/>
  <c r="BC19" i="22"/>
  <c r="BD19" i="22" s="1"/>
  <c r="AT19" i="22"/>
  <c r="AU19" i="22" s="1"/>
  <c r="BC21" i="22"/>
  <c r="BD21" i="22" s="1"/>
  <c r="AT21" i="22"/>
  <c r="AU21" i="22" s="1"/>
  <c r="BC22" i="22"/>
  <c r="BD22" i="22" s="1"/>
  <c r="AT22" i="22"/>
  <c r="AU22" i="22" s="1"/>
  <c r="BC54" i="22"/>
  <c r="BD54" i="22" s="1"/>
  <c r="AT54" i="22"/>
  <c r="AU54" i="22" s="1"/>
  <c r="BC6" i="22"/>
  <c r="BD6" i="22" s="1"/>
  <c r="AT6" i="22"/>
  <c r="AU6" i="22" s="1"/>
  <c r="AP4" i="22"/>
  <c r="BO2" i="22"/>
  <c r="BC53" i="22"/>
  <c r="BD53" i="22" s="1"/>
  <c r="AT53" i="22"/>
  <c r="AU53" i="22" s="1"/>
  <c r="BC12" i="22"/>
  <c r="BD12" i="22" s="1"/>
  <c r="AT12" i="22"/>
  <c r="AU12" i="22" s="1"/>
  <c r="AT48" i="22"/>
  <c r="AU48" i="22" s="1"/>
  <c r="BC48" i="22"/>
  <c r="BD48" i="22" s="1"/>
  <c r="BC15" i="22"/>
  <c r="BD15" i="22" s="1"/>
  <c r="AT15" i="22"/>
  <c r="AU15" i="22" s="1"/>
  <c r="AT52" i="22"/>
  <c r="AU52" i="22" s="1"/>
  <c r="BC52" i="22"/>
  <c r="BD52" i="22" s="1"/>
  <c r="AT29" i="22"/>
  <c r="AU29" i="22" s="1"/>
  <c r="BC29" i="22"/>
  <c r="BD29" i="22" s="1"/>
  <c r="AT38" i="22"/>
  <c r="AU38" i="22" s="1"/>
  <c r="BC38" i="22"/>
  <c r="BD38" i="22" s="1"/>
  <c r="AT10" i="22"/>
  <c r="AU10" i="22" s="1"/>
  <c r="BC10" i="22"/>
  <c r="BD10" i="22" s="1"/>
  <c r="BC44" i="22"/>
  <c r="BD44" i="22" s="1"/>
  <c r="AT44" i="22"/>
  <c r="AU44" i="22" s="1"/>
  <c r="AT26" i="22"/>
  <c r="AU26" i="22" s="1"/>
  <c r="BC26" i="22"/>
  <c r="BD26" i="22" s="1"/>
  <c r="AT43" i="22"/>
  <c r="AU43" i="22" s="1"/>
  <c r="BC43" i="22"/>
  <c r="BD43" i="22" s="1"/>
  <c r="BT10" i="16"/>
  <c r="BU10" i="16" s="1"/>
  <c r="BT9" i="16"/>
  <c r="BU9" i="16" s="1"/>
  <c r="BT7" i="16"/>
  <c r="BU7" i="16" s="1"/>
  <c r="BT8" i="16"/>
  <c r="BU8" i="16" s="1"/>
  <c r="BA28" i="11"/>
  <c r="BD42" i="11"/>
  <c r="AX9" i="11"/>
  <c r="BA41" i="11"/>
  <c r="BA18" i="11"/>
  <c r="AY29" i="11"/>
  <c r="BA30" i="11"/>
  <c r="BB28" i="11"/>
  <c r="BD18" i="11"/>
  <c r="BB42" i="11"/>
  <c r="BB18" i="11"/>
  <c r="BB41" i="11"/>
  <c r="BD28" i="11"/>
  <c r="AY41" i="11"/>
  <c r="AY18" i="11"/>
  <c r="BD41" i="11"/>
  <c r="AY25" i="11"/>
  <c r="BD30" i="11"/>
  <c r="BA20" i="11"/>
  <c r="AY28" i="11"/>
  <c r="AY17" i="11"/>
  <c r="BB30" i="11"/>
  <c r="BD29" i="11"/>
  <c r="BB29" i="11"/>
  <c r="BA29" i="11"/>
  <c r="AX32" i="11"/>
  <c r="BA40" i="11"/>
  <c r="BD40" i="11"/>
  <c r="BB40" i="11"/>
  <c r="BA7" i="11"/>
  <c r="BD7" i="11"/>
  <c r="BB7" i="11"/>
  <c r="AY40" i="11"/>
  <c r="AY30" i="11"/>
  <c r="AY7" i="11"/>
  <c r="AX44" i="11"/>
  <c r="AZ44" i="11" s="1"/>
  <c r="BA42" i="11"/>
  <c r="AY42" i="11"/>
  <c r="AW6" i="11"/>
  <c r="AX6" i="11"/>
  <c r="AZ6" i="11" s="1"/>
  <c r="AW44" i="11"/>
  <c r="AW20" i="11"/>
  <c r="AW9" i="11"/>
  <c r="AW32" i="11"/>
  <c r="AV57" i="11"/>
  <c r="AV58" i="11"/>
  <c r="AV56" i="11"/>
  <c r="AU56" i="11"/>
  <c r="AQ23" i="11"/>
  <c r="AQ25" i="11"/>
  <c r="AQ27" i="11"/>
  <c r="AN47" i="11"/>
  <c r="BE47" i="11" s="1"/>
  <c r="AQ47" i="11"/>
  <c r="AQ15" i="11"/>
  <c r="Q14" i="11"/>
  <c r="AQ13" i="11"/>
  <c r="Q12" i="11"/>
  <c r="AQ18" i="11"/>
  <c r="AQ41" i="11"/>
  <c r="AQ44" i="11"/>
  <c r="Q13" i="11"/>
  <c r="AQ14" i="11"/>
  <c r="AQ21" i="11"/>
  <c r="AQ49" i="11"/>
  <c r="Q10" i="11"/>
  <c r="AQ11" i="11"/>
  <c r="AQ20" i="11"/>
  <c r="AQ17" i="11"/>
  <c r="AQ31" i="11"/>
  <c r="AQ22" i="11"/>
  <c r="AE15" i="11"/>
  <c r="AQ39" i="11"/>
  <c r="AQ42" i="11"/>
  <c r="AQ12" i="11"/>
  <c r="Q11" i="11"/>
  <c r="AQ29" i="11"/>
  <c r="AN7" i="11"/>
  <c r="AQ7" i="11"/>
  <c r="AQ37" i="11"/>
  <c r="AQ36" i="11"/>
  <c r="AQ35" i="11"/>
  <c r="AQ6" i="11"/>
  <c r="V10" i="11"/>
  <c r="X10" i="11" s="1"/>
  <c r="Y10" i="11" s="1"/>
  <c r="S14" i="11"/>
  <c r="S12" i="11"/>
  <c r="V14" i="11"/>
  <c r="X14" i="11" s="1"/>
  <c r="Y14" i="11" s="1"/>
  <c r="S13" i="11"/>
  <c r="V13" i="11"/>
  <c r="X13" i="11" s="1"/>
  <c r="Y13" i="11" s="1"/>
  <c r="S10" i="11"/>
  <c r="S11" i="11"/>
  <c r="S9" i="11"/>
  <c r="V11" i="11"/>
  <c r="X11" i="11" s="1"/>
  <c r="Y11" i="11" s="1"/>
  <c r="V12" i="11"/>
  <c r="X12" i="11" s="1"/>
  <c r="Y12" i="11" s="1"/>
  <c r="V9" i="11"/>
  <c r="AQ34" i="11"/>
  <c r="AQ30" i="11"/>
  <c r="AQ38" i="11"/>
  <c r="AQ24" i="11"/>
  <c r="AQ26" i="11"/>
  <c r="AQ16" i="11"/>
  <c r="AQ33" i="11"/>
  <c r="AQ50" i="11"/>
  <c r="AQ28" i="11"/>
  <c r="AN32" i="11"/>
  <c r="BE32" i="11" s="1"/>
  <c r="AQ32" i="11"/>
  <c r="AQ53" i="11"/>
  <c r="AQ19" i="11"/>
  <c r="CO10" i="11"/>
  <c r="AQ40" i="11"/>
  <c r="AN40" i="11"/>
  <c r="BE40" i="11" s="1"/>
  <c r="AQ54" i="11"/>
  <c r="AQ55" i="11"/>
  <c r="AQ48" i="11"/>
  <c r="AQ9" i="11"/>
  <c r="AQ8" i="11"/>
  <c r="Q9" i="11"/>
  <c r="AQ10" i="11"/>
  <c r="AQ52" i="11"/>
  <c r="AQ46" i="11"/>
  <c r="AQ45" i="11"/>
  <c r="AQ43" i="11"/>
  <c r="AQ51" i="11"/>
  <c r="BD17" i="11" l="1"/>
  <c r="AZ32" i="11"/>
  <c r="BD32" i="11" s="1"/>
  <c r="BB17" i="11"/>
  <c r="BD25" i="11"/>
  <c r="AZ9" i="11"/>
  <c r="BA9" i="11" s="1"/>
  <c r="BB25" i="11"/>
  <c r="EB10" i="25"/>
  <c r="N19" i="21" s="1"/>
  <c r="N18" i="21"/>
  <c r="EB10" i="24"/>
  <c r="M19" i="21" s="1"/>
  <c r="M18" i="21"/>
  <c r="EB10" i="23"/>
  <c r="L19" i="21" s="1"/>
  <c r="L18" i="21"/>
  <c r="EB9" i="22"/>
  <c r="K17" i="21"/>
  <c r="AU56" i="25"/>
  <c r="BD56" i="25"/>
  <c r="CO13" i="25" s="1"/>
  <c r="BD56" i="23"/>
  <c r="CO13" i="23" s="1"/>
  <c r="AU56" i="23"/>
  <c r="EB20" i="25"/>
  <c r="EL12" i="25"/>
  <c r="F26" i="21" s="1"/>
  <c r="EL11" i="25"/>
  <c r="F25" i="21" s="1"/>
  <c r="BD56" i="24"/>
  <c r="CO13" i="24" s="1"/>
  <c r="AU56" i="24"/>
  <c r="BD56" i="22"/>
  <c r="CO13" i="22" s="1"/>
  <c r="AU56" i="22"/>
  <c r="AY9" i="11"/>
  <c r="AY6" i="11"/>
  <c r="BA6" i="11"/>
  <c r="BD20" i="11"/>
  <c r="AY20" i="11"/>
  <c r="AY32" i="11"/>
  <c r="BD44" i="11"/>
  <c r="BB20" i="11"/>
  <c r="AX57" i="11"/>
  <c r="AX56" i="11"/>
  <c r="AX58" i="11"/>
  <c r="BA44" i="11"/>
  <c r="BB44" i="11"/>
  <c r="AY44" i="11"/>
  <c r="BB6" i="11"/>
  <c r="BD6" i="11"/>
  <c r="AW56" i="11"/>
  <c r="AN48" i="11"/>
  <c r="BE48" i="11" s="1"/>
  <c r="AN41" i="11"/>
  <c r="BE41" i="11" s="1"/>
  <c r="CO17" i="11"/>
  <c r="CO21" i="11"/>
  <c r="CO22" i="11" s="1"/>
  <c r="AN42" i="11"/>
  <c r="X9" i="11"/>
  <c r="V15" i="11"/>
  <c r="BE7" i="11"/>
  <c r="AN33" i="11"/>
  <c r="AN8" i="11"/>
  <c r="BB32" i="11" l="1"/>
  <c r="BB9" i="11"/>
  <c r="BD9" i="11"/>
  <c r="BD56" i="11" s="1"/>
  <c r="CO13" i="11" s="1"/>
  <c r="AZ58" i="11"/>
  <c r="EB7" i="11" s="1"/>
  <c r="AZ56" i="11"/>
  <c r="AS60" i="11" s="1"/>
  <c r="BA32" i="11"/>
  <c r="BA56" i="11" s="1"/>
  <c r="AZ57" i="11"/>
  <c r="EB8" i="11" s="1"/>
  <c r="EL11" i="24"/>
  <c r="E25" i="21" s="1"/>
  <c r="EL12" i="24"/>
  <c r="E26" i="21" s="1"/>
  <c r="EB20" i="24"/>
  <c r="EL11" i="23"/>
  <c r="D25" i="21" s="1"/>
  <c r="EL12" i="23"/>
  <c r="D26" i="21" s="1"/>
  <c r="EB20" i="23"/>
  <c r="EB10" i="22"/>
  <c r="K18" i="21"/>
  <c r="AN49" i="11"/>
  <c r="BE49" i="11" s="1"/>
  <c r="AY56" i="11"/>
  <c r="Y9" i="11"/>
  <c r="X15" i="11"/>
  <c r="AO4" i="11"/>
  <c r="BE42" i="11"/>
  <c r="AN43" i="11"/>
  <c r="BE8" i="11"/>
  <c r="AN9" i="11"/>
  <c r="BE33" i="11"/>
  <c r="AN34" i="11"/>
  <c r="BB56" i="11" l="1"/>
  <c r="EB18" i="11"/>
  <c r="DZ6" i="11"/>
  <c r="CO12" i="11"/>
  <c r="K19" i="21"/>
  <c r="EL11" i="22"/>
  <c r="C25" i="21" s="1"/>
  <c r="EB20" i="22"/>
  <c r="EL12" i="22"/>
  <c r="C26" i="21" s="1"/>
  <c r="AN50" i="11"/>
  <c r="BE50" i="11" s="1"/>
  <c r="AN51" i="11"/>
  <c r="EB9" i="11"/>
  <c r="EB10" i="11" s="1"/>
  <c r="BE34" i="11"/>
  <c r="AN35" i="11"/>
  <c r="BE43" i="11"/>
  <c r="AN44" i="11"/>
  <c r="Y15" i="11"/>
  <c r="EB12" i="11" s="1"/>
  <c r="BE9" i="11"/>
  <c r="AN10" i="11"/>
  <c r="EL11" i="11" l="1"/>
  <c r="EL12" i="11"/>
  <c r="EB20" i="11"/>
  <c r="EL10" i="11"/>
  <c r="BE10" i="11"/>
  <c r="AN11" i="11"/>
  <c r="DL5" i="11"/>
  <c r="BE44" i="11"/>
  <c r="AN45" i="11"/>
  <c r="BE51" i="11"/>
  <c r="AN52" i="11"/>
  <c r="BE35" i="11"/>
  <c r="AN36" i="11"/>
  <c r="BE36" i="11" l="1"/>
  <c r="AN37" i="11"/>
  <c r="BE45" i="11"/>
  <c r="AN46" i="11"/>
  <c r="BE46" i="11" s="1"/>
  <c r="BE52" i="11"/>
  <c r="AN53" i="11"/>
  <c r="BE11" i="11"/>
  <c r="AN12" i="11"/>
  <c r="BE37" i="11" l="1"/>
  <c r="AN38" i="11"/>
  <c r="BE53" i="11"/>
  <c r="AN54" i="11"/>
  <c r="BE12" i="11"/>
  <c r="AN13" i="11"/>
  <c r="BE13" i="11" l="1"/>
  <c r="AN14" i="11"/>
  <c r="BE54" i="11"/>
  <c r="AN55" i="11"/>
  <c r="BE38" i="11"/>
  <c r="AN39" i="11"/>
  <c r="BE39" i="11" s="1"/>
  <c r="B10" i="12"/>
  <c r="B6" i="12"/>
  <c r="B5" i="12"/>
  <c r="B3" i="12"/>
  <c r="AQ120" i="16"/>
  <c r="AQ116" i="16"/>
  <c r="AQ113" i="16"/>
  <c r="AQ109" i="16"/>
  <c r="CB61" i="16"/>
  <c r="CM9" i="16"/>
  <c r="CM8" i="16"/>
  <c r="CE35" i="16"/>
  <c r="DO29" i="16"/>
  <c r="DQ29" i="16" s="1"/>
  <c r="DO28" i="16"/>
  <c r="DQ28" i="16" s="1"/>
  <c r="DO27" i="16"/>
  <c r="DQ27" i="16" s="1"/>
  <c r="CM7" i="16"/>
  <c r="DO26" i="16"/>
  <c r="DQ26" i="16" s="1"/>
  <c r="DO25" i="16"/>
  <c r="DQ25" i="16" s="1"/>
  <c r="DO24" i="16"/>
  <c r="DQ24" i="16" s="1"/>
  <c r="CE24" i="16"/>
  <c r="DO23" i="16"/>
  <c r="DQ23" i="16" s="1"/>
  <c r="EB22" i="16"/>
  <c r="J11" i="21" s="1"/>
  <c r="DO22" i="16"/>
  <c r="DQ22" i="16" s="1"/>
  <c r="DO21" i="16"/>
  <c r="DQ21" i="16" s="1"/>
  <c r="DO20" i="16"/>
  <c r="DQ20" i="16" s="1"/>
  <c r="DO19" i="16"/>
  <c r="DQ19" i="16" s="1"/>
  <c r="EB18" i="16"/>
  <c r="J8" i="21" s="1"/>
  <c r="DO18" i="16"/>
  <c r="DQ18" i="16" s="1"/>
  <c r="DB18" i="16"/>
  <c r="DO17" i="16"/>
  <c r="DQ17" i="16" s="1"/>
  <c r="DB17" i="16"/>
  <c r="DO16" i="16"/>
  <c r="DQ16" i="16" s="1"/>
  <c r="DB16" i="16"/>
  <c r="CM6" i="16"/>
  <c r="DO15" i="16"/>
  <c r="DQ15" i="16" s="1"/>
  <c r="DB15" i="16"/>
  <c r="AA15" i="16"/>
  <c r="J14" i="21" s="1"/>
  <c r="DO14" i="16"/>
  <c r="DQ14" i="16" s="1"/>
  <c r="DB14" i="16"/>
  <c r="R14" i="16"/>
  <c r="AD14" i="16" s="1"/>
  <c r="AE14" i="16" s="1"/>
  <c r="EB13" i="16"/>
  <c r="DO13" i="16"/>
  <c r="DQ13" i="16" s="1"/>
  <c r="DB13" i="16"/>
  <c r="CE13" i="16"/>
  <c r="CF7" i="16" s="1"/>
  <c r="R13" i="16"/>
  <c r="AD13" i="16" s="1"/>
  <c r="AE13" i="16" s="1"/>
  <c r="DO12" i="16"/>
  <c r="DQ12" i="16" s="1"/>
  <c r="DB12" i="16"/>
  <c r="R12" i="16"/>
  <c r="AD12" i="16" s="1"/>
  <c r="AE12" i="16" s="1"/>
  <c r="DO11" i="16"/>
  <c r="DQ11" i="16" s="1"/>
  <c r="DB11" i="16"/>
  <c r="CN9" i="16"/>
  <c r="R11" i="16"/>
  <c r="AD11" i="16" s="1"/>
  <c r="AE11" i="16" s="1"/>
  <c r="DO10" i="16"/>
  <c r="DQ10" i="16" s="1"/>
  <c r="DB10" i="16"/>
  <c r="CN8" i="16"/>
  <c r="R10" i="16"/>
  <c r="AD10" i="16" s="1"/>
  <c r="AE10" i="16" s="1"/>
  <c r="DZ9" i="16"/>
  <c r="DS9" i="16"/>
  <c r="DO9" i="16"/>
  <c r="DQ9" i="16" s="1"/>
  <c r="DB9" i="16"/>
  <c r="CP9" i="16"/>
  <c r="CN7" i="16"/>
  <c r="R9" i="16"/>
  <c r="AD9" i="16" s="1"/>
  <c r="AE9" i="16" s="1"/>
  <c r="DS8" i="16"/>
  <c r="DO8" i="16"/>
  <c r="DQ8" i="16" s="1"/>
  <c r="DB8" i="16"/>
  <c r="CP8" i="16"/>
  <c r="CN6" i="16"/>
  <c r="R8" i="16"/>
  <c r="DS7" i="16"/>
  <c r="DO7" i="16"/>
  <c r="DQ7" i="16" s="1"/>
  <c r="DB7" i="16"/>
  <c r="CP7" i="16"/>
  <c r="R7" i="16"/>
  <c r="DS6" i="16"/>
  <c r="DO6" i="16"/>
  <c r="DQ6" i="16" s="1"/>
  <c r="DB6" i="16"/>
  <c r="AN6" i="16"/>
  <c r="BE6" i="16" s="1"/>
  <c r="R6" i="16"/>
  <c r="DO5" i="16"/>
  <c r="DQ5" i="16" s="1"/>
  <c r="DB5" i="16"/>
  <c r="CM5" i="16"/>
  <c r="R5" i="16"/>
  <c r="BA6" i="16"/>
  <c r="AY4" i="16"/>
  <c r="AW4" i="16"/>
  <c r="DB19" i="16" l="1"/>
  <c r="EB16" i="16" s="1"/>
  <c r="AQ121" i="16"/>
  <c r="CF23" i="16"/>
  <c r="BY8" i="16" s="1"/>
  <c r="BY11" i="16"/>
  <c r="BY9" i="16"/>
  <c r="BA51" i="16"/>
  <c r="BA39" i="16"/>
  <c r="BA27" i="16"/>
  <c r="BA15" i="16"/>
  <c r="BA38" i="16"/>
  <c r="BA26" i="16"/>
  <c r="BA14" i="16"/>
  <c r="BA37" i="16"/>
  <c r="BA25" i="16"/>
  <c r="BA13" i="16"/>
  <c r="BA36" i="16"/>
  <c r="BA12" i="16"/>
  <c r="BA50" i="16"/>
  <c r="BA49" i="16"/>
  <c r="BA30" i="16"/>
  <c r="BA48" i="16"/>
  <c r="BA24" i="16"/>
  <c r="BA47" i="16"/>
  <c r="BA35" i="16"/>
  <c r="BA23" i="16"/>
  <c r="BA11" i="16"/>
  <c r="BA34" i="16"/>
  <c r="BA22" i="16"/>
  <c r="BA10" i="16"/>
  <c r="BA46" i="16"/>
  <c r="BA45" i="16"/>
  <c r="BA33" i="16"/>
  <c r="BA21" i="16"/>
  <c r="BA9" i="16"/>
  <c r="BA32" i="16"/>
  <c r="BA20" i="16"/>
  <c r="BA8" i="16"/>
  <c r="BA44" i="16"/>
  <c r="BA42" i="16"/>
  <c r="BA40" i="16"/>
  <c r="BA28" i="16"/>
  <c r="BA55" i="16"/>
  <c r="BA43" i="16"/>
  <c r="BA31" i="16"/>
  <c r="BA19" i="16"/>
  <c r="BA7" i="16"/>
  <c r="BA54" i="16"/>
  <c r="BA16" i="16"/>
  <c r="BA18" i="16"/>
  <c r="BA53" i="16"/>
  <c r="BA41" i="16"/>
  <c r="BA29" i="16"/>
  <c r="BA17" i="16"/>
  <c r="BA52" i="16"/>
  <c r="AY53" i="16"/>
  <c r="AY41" i="16"/>
  <c r="AY29" i="16"/>
  <c r="AY17" i="16"/>
  <c r="AY27" i="16"/>
  <c r="AY52" i="16"/>
  <c r="AY40" i="16"/>
  <c r="AY28" i="16"/>
  <c r="AY16" i="16"/>
  <c r="AY15" i="16"/>
  <c r="AY51" i="16"/>
  <c r="AY39" i="16"/>
  <c r="AY49" i="16"/>
  <c r="AY37" i="16"/>
  <c r="AY25" i="16"/>
  <c r="AY13" i="16"/>
  <c r="AY23" i="16"/>
  <c r="AY11" i="16"/>
  <c r="AY48" i="16"/>
  <c r="AY36" i="16"/>
  <c r="AY24" i="16"/>
  <c r="AY12" i="16"/>
  <c r="AY35" i="16"/>
  <c r="AY7" i="16"/>
  <c r="AY14" i="16"/>
  <c r="AY47" i="16"/>
  <c r="AY31" i="16"/>
  <c r="AY50" i="16"/>
  <c r="AY46" i="16"/>
  <c r="AY34" i="16"/>
  <c r="AY22" i="16"/>
  <c r="AY10" i="16"/>
  <c r="AY9" i="16"/>
  <c r="AY38" i="16"/>
  <c r="AY45" i="16"/>
  <c r="AY33" i="16"/>
  <c r="AY21" i="16"/>
  <c r="AY43" i="16"/>
  <c r="AY26" i="16"/>
  <c r="AY44" i="16"/>
  <c r="AY32" i="16"/>
  <c r="AY20" i="16"/>
  <c r="AY8" i="16"/>
  <c r="AY19" i="16"/>
  <c r="AY55" i="16"/>
  <c r="AY54" i="16"/>
  <c r="AY42" i="16"/>
  <c r="AY30" i="16"/>
  <c r="AY18" i="16"/>
  <c r="AY6" i="16"/>
  <c r="AW55" i="16"/>
  <c r="AW43" i="16"/>
  <c r="AW31" i="16"/>
  <c r="AW19" i="16"/>
  <c r="AW7" i="16"/>
  <c r="AW18" i="16"/>
  <c r="AW54" i="16"/>
  <c r="AW42" i="16"/>
  <c r="AW30" i="16"/>
  <c r="AW41" i="16"/>
  <c r="AW51" i="16"/>
  <c r="AW39" i="16"/>
  <c r="AW27" i="16"/>
  <c r="AW15" i="16"/>
  <c r="AW25" i="16"/>
  <c r="AW24" i="16"/>
  <c r="AW22" i="16"/>
  <c r="AW28" i="16"/>
  <c r="AW50" i="16"/>
  <c r="AW38" i="16"/>
  <c r="AW26" i="16"/>
  <c r="AW14" i="16"/>
  <c r="AW36" i="16"/>
  <c r="AW16" i="16"/>
  <c r="AW49" i="16"/>
  <c r="AW37" i="16"/>
  <c r="AW13" i="16"/>
  <c r="AW12" i="16"/>
  <c r="AW10" i="16"/>
  <c r="AW48" i="16"/>
  <c r="AW53" i="16"/>
  <c r="AW52" i="16"/>
  <c r="AW47" i="16"/>
  <c r="AW35" i="16"/>
  <c r="AW23" i="16"/>
  <c r="AW11" i="16"/>
  <c r="AW46" i="16"/>
  <c r="AW34" i="16"/>
  <c r="AW17" i="16"/>
  <c r="AW40" i="16"/>
  <c r="AW45" i="16"/>
  <c r="AW33" i="16"/>
  <c r="AW21" i="16"/>
  <c r="AW9" i="16"/>
  <c r="AW29" i="16"/>
  <c r="AW44" i="16"/>
  <c r="AW32" i="16"/>
  <c r="AW20" i="16"/>
  <c r="AW8" i="16"/>
  <c r="AW6" i="16"/>
  <c r="BE55" i="11"/>
  <c r="BE14" i="11"/>
  <c r="AN15" i="11"/>
  <c r="O6" i="16"/>
  <c r="CF8" i="16"/>
  <c r="CF9" i="16"/>
  <c r="CF10" i="16"/>
  <c r="CF11" i="16"/>
  <c r="CF12" i="16"/>
  <c r="BY7" i="16" s="1"/>
  <c r="CF17" i="16"/>
  <c r="CF18" i="16"/>
  <c r="CF19" i="16"/>
  <c r="CF20" i="16"/>
  <c r="CF21" i="16"/>
  <c r="CF6" i="16"/>
  <c r="CF22" i="16"/>
  <c r="CB44" i="16"/>
  <c r="CP6" i="16"/>
  <c r="BQ12" i="16"/>
  <c r="CP5" i="16"/>
  <c r="CB42" i="16"/>
  <c r="CB52" i="16"/>
  <c r="CB54" i="16"/>
  <c r="W15" i="16"/>
  <c r="AC15" i="16"/>
  <c r="O13" i="16"/>
  <c r="O11" i="16"/>
  <c r="O10" i="16"/>
  <c r="O14" i="16"/>
  <c r="AD5" i="16"/>
  <c r="O12" i="16"/>
  <c r="R15" i="16"/>
  <c r="X5" i="16"/>
  <c r="O9" i="16"/>
  <c r="O8" i="16"/>
  <c r="O7" i="16"/>
  <c r="O5" i="16"/>
  <c r="CB8" i="16"/>
  <c r="CB7" i="16"/>
  <c r="CB6" i="16"/>
  <c r="CB11" i="16"/>
  <c r="CB10" i="16"/>
  <c r="CB18" i="16"/>
  <c r="CB17" i="16"/>
  <c r="CB22" i="16"/>
  <c r="CB21" i="16"/>
  <c r="CB20" i="16"/>
  <c r="CB19" i="16"/>
  <c r="AD7" i="16"/>
  <c r="AE7" i="16" s="1"/>
  <c r="X7" i="16"/>
  <c r="Y7" i="16" s="1"/>
  <c r="CB9" i="16"/>
  <c r="CN5" i="16"/>
  <c r="AD8" i="16"/>
  <c r="AE8" i="16" s="1"/>
  <c r="X8" i="16"/>
  <c r="Y8" i="16" s="1"/>
  <c r="DQ30" i="16"/>
  <c r="X6" i="16"/>
  <c r="Y6" i="16" s="1"/>
  <c r="AD6" i="16"/>
  <c r="AE6" i="16" s="1"/>
  <c r="CB39" i="16"/>
  <c r="CB41" i="16"/>
  <c r="CB51" i="16"/>
  <c r="CB43" i="16"/>
  <c r="CB53" i="16"/>
  <c r="CB55" i="16"/>
  <c r="CB40" i="16"/>
  <c r="BY10" i="16"/>
  <c r="CB50" i="16"/>
  <c r="I22" i="5"/>
  <c r="H22" i="5"/>
  <c r="CF35" i="16" l="1"/>
  <c r="CF57" i="16"/>
  <c r="CF58" i="16" s="1"/>
  <c r="CF13" i="16"/>
  <c r="BA56" i="16"/>
  <c r="AY56" i="16"/>
  <c r="AW56" i="16"/>
  <c r="EB17" i="16"/>
  <c r="J7" i="21" s="1"/>
  <c r="CH19" i="16"/>
  <c r="CH41" i="16"/>
  <c r="CH20" i="16"/>
  <c r="CH40" i="16"/>
  <c r="CH55" i="16"/>
  <c r="CH22" i="16"/>
  <c r="CH52" i="16"/>
  <c r="CH54" i="16"/>
  <c r="CH17" i="16"/>
  <c r="CH42" i="16"/>
  <c r="CH21" i="16"/>
  <c r="CH43" i="16"/>
  <c r="CH18" i="16"/>
  <c r="CH39" i="16"/>
  <c r="CH53" i="16"/>
  <c r="CH10" i="16"/>
  <c r="CH11" i="16"/>
  <c r="CH6" i="16"/>
  <c r="CH44" i="16"/>
  <c r="CH50" i="16"/>
  <c r="CH51" i="16"/>
  <c r="CH9" i="16"/>
  <c r="CH7" i="16"/>
  <c r="CH8" i="16"/>
  <c r="BE15" i="11"/>
  <c r="AN16" i="11"/>
  <c r="CF24" i="16"/>
  <c r="J15" i="21"/>
  <c r="J4" i="21"/>
  <c r="CG13" i="16"/>
  <c r="CO5" i="16" s="1"/>
  <c r="EB19" i="16"/>
  <c r="CN10" i="16"/>
  <c r="CO11" i="16" s="1"/>
  <c r="B3" i="21" s="1"/>
  <c r="G3" i="21" s="1"/>
  <c r="AE5" i="16"/>
  <c r="AD15" i="16"/>
  <c r="Y5" i="16"/>
  <c r="AO54" i="16"/>
  <c r="AO46" i="16"/>
  <c r="AO44" i="16"/>
  <c r="AO38" i="16"/>
  <c r="AO34" i="16"/>
  <c r="AO18" i="16"/>
  <c r="AO32" i="16"/>
  <c r="AO26" i="16"/>
  <c r="AO50" i="16"/>
  <c r="AO40" i="16"/>
  <c r="AO36" i="16"/>
  <c r="AO28" i="16"/>
  <c r="AO17" i="16"/>
  <c r="AO55" i="16"/>
  <c r="AO45" i="16"/>
  <c r="AO29" i="16"/>
  <c r="AO49" i="16"/>
  <c r="AO30" i="16"/>
  <c r="AO23" i="16"/>
  <c r="AO13" i="16"/>
  <c r="AO11" i="16"/>
  <c r="AO10" i="16"/>
  <c r="AO53" i="16"/>
  <c r="AO48" i="16"/>
  <c r="AO43" i="16"/>
  <c r="AO24" i="16"/>
  <c r="AO22" i="16"/>
  <c r="AO14" i="16"/>
  <c r="AO6" i="16"/>
  <c r="AO25" i="16"/>
  <c r="AO35" i="16"/>
  <c r="AO33" i="16"/>
  <c r="AO21" i="16"/>
  <c r="AO12" i="16"/>
  <c r="AO27" i="16"/>
  <c r="AO51" i="16"/>
  <c r="AO47" i="16"/>
  <c r="AO41" i="16"/>
  <c r="AO20" i="16"/>
  <c r="AO15" i="16"/>
  <c r="AO31" i="16"/>
  <c r="AO39" i="16"/>
  <c r="AO19" i="16"/>
  <c r="AO9" i="16"/>
  <c r="AO52" i="16"/>
  <c r="AO7" i="16"/>
  <c r="AO16" i="16"/>
  <c r="AO42" i="16"/>
  <c r="AO8" i="16"/>
  <c r="AO37" i="16"/>
  <c r="CF46" i="16"/>
  <c r="CG50" i="16"/>
  <c r="CG40" i="16"/>
  <c r="CG28" i="16"/>
  <c r="CG17" i="16"/>
  <c r="CG57" i="16"/>
  <c r="CO9" i="16" s="1"/>
  <c r="CG55" i="16"/>
  <c r="CG29" i="16"/>
  <c r="CG53" i="16"/>
  <c r="CG45" i="16"/>
  <c r="CG43" i="16"/>
  <c r="CG22" i="16"/>
  <c r="CG33" i="16"/>
  <c r="CG23" i="16"/>
  <c r="CG21" i="16"/>
  <c r="CG51" i="16"/>
  <c r="CG41" i="16"/>
  <c r="CG24" i="16"/>
  <c r="CO6" i="16" s="1"/>
  <c r="CG20" i="16"/>
  <c r="CG12" i="16"/>
  <c r="CG11" i="16"/>
  <c r="CG10" i="16"/>
  <c r="CG35" i="16"/>
  <c r="CO7" i="16" s="1"/>
  <c r="CG31" i="16"/>
  <c r="CG39" i="16"/>
  <c r="CG19" i="16"/>
  <c r="CG56" i="16"/>
  <c r="CG54" i="16"/>
  <c r="CG44" i="16"/>
  <c r="CG18" i="16"/>
  <c r="CG52" i="16"/>
  <c r="CG42" i="16"/>
  <c r="CG46" i="16"/>
  <c r="CO8" i="16" s="1"/>
  <c r="CG34" i="16"/>
  <c r="CG32" i="16"/>
  <c r="CG7" i="16"/>
  <c r="CG9" i="16"/>
  <c r="CG8" i="16"/>
  <c r="CG30" i="16"/>
  <c r="CG6" i="16"/>
  <c r="BB49" i="16" l="1"/>
  <c r="BB34" i="16"/>
  <c r="BB38" i="16"/>
  <c r="BB8" i="16"/>
  <c r="BB29" i="16"/>
  <c r="BB20" i="16"/>
  <c r="BB22" i="16"/>
  <c r="BB45" i="16"/>
  <c r="BB44" i="16"/>
  <c r="BB17" i="16"/>
  <c r="BB31" i="16"/>
  <c r="BB15" i="16"/>
  <c r="BB14" i="16"/>
  <c r="BB37" i="16"/>
  <c r="BB41" i="16"/>
  <c r="BB24" i="16"/>
  <c r="BB55" i="16"/>
  <c r="BB46" i="16"/>
  <c r="BB48" i="16"/>
  <c r="BB47" i="16"/>
  <c r="BB51" i="16"/>
  <c r="BB28" i="16"/>
  <c r="BB16" i="16"/>
  <c r="BB27" i="16"/>
  <c r="BB53" i="16"/>
  <c r="BB36" i="16"/>
  <c r="BB12" i="16"/>
  <c r="BB10" i="16"/>
  <c r="BB40" i="16"/>
  <c r="BB42" i="16"/>
  <c r="BB52" i="16"/>
  <c r="BB21" i="16"/>
  <c r="BB11" i="16"/>
  <c r="BB50" i="16"/>
  <c r="BB43" i="16"/>
  <c r="BB26" i="16"/>
  <c r="BB19" i="16"/>
  <c r="BB23" i="16"/>
  <c r="BB32" i="16"/>
  <c r="BB54" i="16"/>
  <c r="BB9" i="16"/>
  <c r="BB33" i="16"/>
  <c r="BB13" i="16"/>
  <c r="BB35" i="16"/>
  <c r="BB39" i="16"/>
  <c r="BB25" i="16"/>
  <c r="BB30" i="16"/>
  <c r="BB18" i="16"/>
  <c r="AP6" i="16"/>
  <c r="BB6" i="16"/>
  <c r="BB7" i="16"/>
  <c r="AN7" i="16"/>
  <c r="BE7" i="16" s="1"/>
  <c r="BE16" i="11"/>
  <c r="AN17" i="11"/>
  <c r="AP37" i="16"/>
  <c r="AT37" i="16" s="1"/>
  <c r="AP39" i="16"/>
  <c r="AT39" i="16" s="1"/>
  <c r="AP25" i="16"/>
  <c r="AT25" i="16" s="1"/>
  <c r="AP30" i="16"/>
  <c r="AT30" i="16" s="1"/>
  <c r="AP18" i="16"/>
  <c r="AT18" i="16" s="1"/>
  <c r="AP34" i="16"/>
  <c r="AT34" i="16" s="1"/>
  <c r="AP31" i="16"/>
  <c r="AT31" i="16" s="1"/>
  <c r="AP49" i="16"/>
  <c r="AT49" i="16" s="1"/>
  <c r="AP15" i="16"/>
  <c r="AT15" i="16" s="1"/>
  <c r="AP14" i="16"/>
  <c r="AT14" i="16" s="1"/>
  <c r="AP29" i="16"/>
  <c r="AT29" i="16" s="1"/>
  <c r="AU29" i="16" s="1"/>
  <c r="AP38" i="16"/>
  <c r="AT38" i="16" s="1"/>
  <c r="AP20" i="16"/>
  <c r="AT20" i="16" s="1"/>
  <c r="AU20" i="16" s="1"/>
  <c r="AP22" i="16"/>
  <c r="AT22" i="16" s="1"/>
  <c r="AU22" i="16" s="1"/>
  <c r="AP45" i="16"/>
  <c r="AT45" i="16" s="1"/>
  <c r="AP44" i="16"/>
  <c r="AT44" i="16" s="1"/>
  <c r="AP55" i="16"/>
  <c r="AT55" i="16" s="1"/>
  <c r="AP47" i="16"/>
  <c r="AT47" i="16" s="1"/>
  <c r="AP43" i="16"/>
  <c r="AT43" i="16" s="1"/>
  <c r="AP54" i="16"/>
  <c r="AT54" i="16" s="1"/>
  <c r="AP8" i="16"/>
  <c r="AT8" i="16" s="1"/>
  <c r="AP17" i="16"/>
  <c r="AT17" i="16" s="1"/>
  <c r="AP42" i="16"/>
  <c r="AT42" i="16" s="1"/>
  <c r="AP51" i="16"/>
  <c r="AT51" i="16" s="1"/>
  <c r="AP48" i="16"/>
  <c r="AT48" i="16" s="1"/>
  <c r="AP28" i="16"/>
  <c r="AT28" i="16" s="1"/>
  <c r="AP41" i="16"/>
  <c r="AT41" i="16" s="1"/>
  <c r="AP27" i="16"/>
  <c r="AT27" i="16" s="1"/>
  <c r="AP12" i="16"/>
  <c r="AT12" i="16" s="1"/>
  <c r="AP10" i="16"/>
  <c r="AT10" i="16" s="1"/>
  <c r="AP40" i="16"/>
  <c r="AT40" i="16" s="1"/>
  <c r="AP46" i="16"/>
  <c r="AT46" i="16" s="1"/>
  <c r="AP53" i="16"/>
  <c r="AT53" i="16" s="1"/>
  <c r="AP52" i="16"/>
  <c r="AT52" i="16" s="1"/>
  <c r="AP11" i="16"/>
  <c r="AT11" i="16" s="1"/>
  <c r="AP9" i="16"/>
  <c r="AT9" i="16" s="1"/>
  <c r="AP13" i="16"/>
  <c r="AT13" i="16" s="1"/>
  <c r="AU13" i="16" s="1"/>
  <c r="AP26" i="16"/>
  <c r="AT26" i="16" s="1"/>
  <c r="EB8" i="16"/>
  <c r="AP24" i="16"/>
  <c r="AT24" i="16" s="1"/>
  <c r="AP16" i="16"/>
  <c r="AT16" i="16" s="1"/>
  <c r="AU16" i="16" s="1"/>
  <c r="AP36" i="16"/>
  <c r="AT36" i="16" s="1"/>
  <c r="AP7" i="16"/>
  <c r="AT7" i="16" s="1"/>
  <c r="AU7" i="16" s="1"/>
  <c r="AP21" i="16"/>
  <c r="AT21" i="16" s="1"/>
  <c r="AP50" i="16"/>
  <c r="AT50" i="16" s="1"/>
  <c r="AP33" i="16"/>
  <c r="AT33" i="16" s="1"/>
  <c r="AP19" i="16"/>
  <c r="AT19" i="16" s="1"/>
  <c r="AP35" i="16"/>
  <c r="AT35" i="16" s="1"/>
  <c r="AP23" i="16"/>
  <c r="AT23" i="16" s="1"/>
  <c r="AP32" i="16"/>
  <c r="AT32" i="16" s="1"/>
  <c r="CO10" i="16"/>
  <c r="CO17" i="16" s="1"/>
  <c r="B9" i="21" s="1"/>
  <c r="G9" i="21" s="1"/>
  <c r="AQ8" i="16"/>
  <c r="AQ47" i="16"/>
  <c r="AQ43" i="16"/>
  <c r="AQ17" i="16"/>
  <c r="AQ54" i="16"/>
  <c r="AQ51" i="16"/>
  <c r="AQ16" i="16"/>
  <c r="AQ27" i="16"/>
  <c r="AQ12" i="16"/>
  <c r="AQ10" i="16"/>
  <c r="AQ50" i="16"/>
  <c r="AQ19" i="16"/>
  <c r="AQ23" i="16"/>
  <c r="AQ32" i="16"/>
  <c r="AQ39" i="16"/>
  <c r="AQ30" i="16"/>
  <c r="AQ31" i="16"/>
  <c r="X14" i="16"/>
  <c r="Y14" i="16" s="1"/>
  <c r="X12" i="16"/>
  <c r="Y12" i="16" s="1"/>
  <c r="X11" i="16"/>
  <c r="Y11" i="16" s="1"/>
  <c r="X10" i="16"/>
  <c r="Y10" i="16" s="1"/>
  <c r="AQ6" i="16"/>
  <c r="X13" i="16"/>
  <c r="Y13" i="16" s="1"/>
  <c r="AQ49" i="16"/>
  <c r="AQ34" i="16"/>
  <c r="AQ15" i="16"/>
  <c r="AQ14" i="16"/>
  <c r="AQ29" i="16"/>
  <c r="AQ38" i="16"/>
  <c r="AE15" i="16"/>
  <c r="AQ42" i="16"/>
  <c r="AQ48" i="16"/>
  <c r="AQ28" i="16"/>
  <c r="AQ53" i="16"/>
  <c r="AQ36" i="16"/>
  <c r="AQ7" i="16"/>
  <c r="AQ40" i="16"/>
  <c r="AQ52" i="16"/>
  <c r="AQ21" i="16"/>
  <c r="AQ11" i="16"/>
  <c r="AQ9" i="16"/>
  <c r="AQ33" i="16"/>
  <c r="AQ13" i="16"/>
  <c r="AQ26" i="16"/>
  <c r="AQ35" i="16"/>
  <c r="AQ25" i="16"/>
  <c r="AQ18" i="16"/>
  <c r="AQ20" i="16"/>
  <c r="AQ22" i="16"/>
  <c r="AQ45" i="16"/>
  <c r="AQ44" i="16"/>
  <c r="AQ37" i="16"/>
  <c r="AQ41" i="16"/>
  <c r="AQ24" i="16"/>
  <c r="AQ55" i="16"/>
  <c r="AQ46" i="16"/>
  <c r="AU23" i="16" l="1"/>
  <c r="AU8" i="16"/>
  <c r="AU54" i="16"/>
  <c r="AU33" i="16"/>
  <c r="AU42" i="16"/>
  <c r="AU52" i="16"/>
  <c r="AU14" i="16"/>
  <c r="AU49" i="16"/>
  <c r="AU26" i="16"/>
  <c r="AU28" i="16"/>
  <c r="AU35" i="16"/>
  <c r="AU9" i="16"/>
  <c r="AU51" i="16"/>
  <c r="AU38" i="16"/>
  <c r="AU30" i="16"/>
  <c r="AU25" i="16"/>
  <c r="AU15" i="16"/>
  <c r="AU48" i="16"/>
  <c r="AU19" i="16"/>
  <c r="AU17" i="16"/>
  <c r="AU50" i="16"/>
  <c r="AU53" i="16"/>
  <c r="AU46" i="16"/>
  <c r="AU10" i="16"/>
  <c r="AU55" i="16"/>
  <c r="AU18" i="16"/>
  <c r="AU24" i="16"/>
  <c r="AU27" i="16"/>
  <c r="AU36" i="16"/>
  <c r="AU47" i="16"/>
  <c r="AU34" i="16"/>
  <c r="AU12" i="16"/>
  <c r="AU44" i="16"/>
  <c r="AU41" i="16"/>
  <c r="AU45" i="16"/>
  <c r="AU32" i="16"/>
  <c r="AU39" i="16"/>
  <c r="AU37" i="16"/>
  <c r="AU11" i="16"/>
  <c r="AU21" i="16"/>
  <c r="AU40" i="16"/>
  <c r="AU43" i="16"/>
  <c r="AU31" i="16"/>
  <c r="AT6" i="16"/>
  <c r="AU6" i="16" s="1"/>
  <c r="BB56" i="16"/>
  <c r="AR56" i="16"/>
  <c r="AN8" i="16"/>
  <c r="BE8" i="16" s="1"/>
  <c r="BE17" i="11"/>
  <c r="AN18" i="11"/>
  <c r="AP4" i="16"/>
  <c r="BO2" i="16"/>
  <c r="CO21" i="16"/>
  <c r="X9" i="16"/>
  <c r="V15" i="16"/>
  <c r="EB7" i="16" s="1"/>
  <c r="E21" i="13"/>
  <c r="F21" i="13"/>
  <c r="D21" i="13"/>
  <c r="AU56" i="16" l="1"/>
  <c r="AS60" i="16"/>
  <c r="CO12" i="16"/>
  <c r="B4" i="21" s="1"/>
  <c r="G4" i="21" s="1"/>
  <c r="DZ6" i="16"/>
  <c r="DZ12" i="16"/>
  <c r="BB4" i="16"/>
  <c r="AU4" i="16"/>
  <c r="AN9" i="16"/>
  <c r="BE9" i="16" s="1"/>
  <c r="BC46" i="16"/>
  <c r="BD46" i="16" s="1"/>
  <c r="BC34" i="16"/>
  <c r="BD34" i="16" s="1"/>
  <c r="BC22" i="16"/>
  <c r="BD22" i="16" s="1"/>
  <c r="BC10" i="16"/>
  <c r="BD10" i="16" s="1"/>
  <c r="BC45" i="16"/>
  <c r="BD45" i="16" s="1"/>
  <c r="BC33" i="16"/>
  <c r="BD33" i="16" s="1"/>
  <c r="BC21" i="16"/>
  <c r="BD21" i="16" s="1"/>
  <c r="BC9" i="16"/>
  <c r="BD9" i="16" s="1"/>
  <c r="BC44" i="16"/>
  <c r="BD44" i="16" s="1"/>
  <c r="BC32" i="16"/>
  <c r="BD32" i="16" s="1"/>
  <c r="BC20" i="16"/>
  <c r="BD20" i="16" s="1"/>
  <c r="BC8" i="16"/>
  <c r="BD8" i="16" s="1"/>
  <c r="BC55" i="16"/>
  <c r="BD55" i="16" s="1"/>
  <c r="BC43" i="16"/>
  <c r="BD43" i="16" s="1"/>
  <c r="BC31" i="16"/>
  <c r="BD31" i="16" s="1"/>
  <c r="BC19" i="16"/>
  <c r="BD19" i="16" s="1"/>
  <c r="BC7" i="16"/>
  <c r="BD7" i="16" s="1"/>
  <c r="BC54" i="16"/>
  <c r="BD54" i="16" s="1"/>
  <c r="BC42" i="16"/>
  <c r="BD42" i="16" s="1"/>
  <c r="BC30" i="16"/>
  <c r="BD30" i="16" s="1"/>
  <c r="BC18" i="16"/>
  <c r="BD18" i="16" s="1"/>
  <c r="BC6" i="16"/>
  <c r="BD6" i="16" s="1"/>
  <c r="BC53" i="16"/>
  <c r="BD53" i="16" s="1"/>
  <c r="BC41" i="16"/>
  <c r="BD41" i="16" s="1"/>
  <c r="BC29" i="16"/>
  <c r="BD29" i="16" s="1"/>
  <c r="BC17" i="16"/>
  <c r="BD17" i="16" s="1"/>
  <c r="BC52" i="16"/>
  <c r="BD52" i="16" s="1"/>
  <c r="BC40" i="16"/>
  <c r="BD40" i="16" s="1"/>
  <c r="BC28" i="16"/>
  <c r="BD28" i="16" s="1"/>
  <c r="BC16" i="16"/>
  <c r="BD16" i="16" s="1"/>
  <c r="BC51" i="16"/>
  <c r="BD51" i="16" s="1"/>
  <c r="BC39" i="16"/>
  <c r="BD39" i="16" s="1"/>
  <c r="BC27" i="16"/>
  <c r="BD27" i="16" s="1"/>
  <c r="BC15" i="16"/>
  <c r="BD15" i="16" s="1"/>
  <c r="BC50" i="16"/>
  <c r="BD50" i="16" s="1"/>
  <c r="BC38" i="16"/>
  <c r="BD38" i="16" s="1"/>
  <c r="BC26" i="16"/>
  <c r="BD26" i="16" s="1"/>
  <c r="BC14" i="16"/>
  <c r="BD14" i="16" s="1"/>
  <c r="BC49" i="16"/>
  <c r="BD49" i="16" s="1"/>
  <c r="BC37" i="16"/>
  <c r="BD37" i="16" s="1"/>
  <c r="BC25" i="16"/>
  <c r="BD25" i="16" s="1"/>
  <c r="BC13" i="16"/>
  <c r="BD13" i="16" s="1"/>
  <c r="BC23" i="16"/>
  <c r="BD23" i="16" s="1"/>
  <c r="BC48" i="16"/>
  <c r="BD48" i="16" s="1"/>
  <c r="BC36" i="16"/>
  <c r="BD36" i="16" s="1"/>
  <c r="BC24" i="16"/>
  <c r="BD24" i="16" s="1"/>
  <c r="BC12" i="16"/>
  <c r="BD12" i="16" s="1"/>
  <c r="BC47" i="16"/>
  <c r="BD47" i="16" s="1"/>
  <c r="BC35" i="16"/>
  <c r="BD35" i="16" s="1"/>
  <c r="BC11" i="16"/>
  <c r="BD11" i="16" s="1"/>
  <c r="BE18" i="11"/>
  <c r="AN19" i="11"/>
  <c r="DS5" i="16"/>
  <c r="BQ2" i="16"/>
  <c r="J3" i="21"/>
  <c r="J5" i="21" s="1"/>
  <c r="CO22" i="16"/>
  <c r="B14" i="21" s="1"/>
  <c r="G14" i="21" s="1"/>
  <c r="B13" i="21"/>
  <c r="G13" i="21" s="1"/>
  <c r="CB28" i="16"/>
  <c r="CB33" i="16"/>
  <c r="Y9" i="16"/>
  <c r="X15" i="16"/>
  <c r="AO4" i="16"/>
  <c r="AN10" i="16" l="1"/>
  <c r="BE10" i="16" s="1"/>
  <c r="BD56" i="16"/>
  <c r="CO13" i="16" s="1"/>
  <c r="B5" i="21" s="1"/>
  <c r="G5" i="21" s="1"/>
  <c r="CH33" i="16"/>
  <c r="CH28" i="16"/>
  <c r="BE19" i="11"/>
  <c r="AN20" i="11"/>
  <c r="J17" i="21"/>
  <c r="EB9" i="16"/>
  <c r="J18" i="21" s="1"/>
  <c r="CB30" i="16"/>
  <c r="CB32" i="16"/>
  <c r="CB29" i="16"/>
  <c r="Y15" i="16"/>
  <c r="EB12" i="16" s="1"/>
  <c r="AN11" i="16" l="1"/>
  <c r="BE11" i="16"/>
  <c r="AN12" i="16"/>
  <c r="CH32" i="16"/>
  <c r="CH29" i="16"/>
  <c r="CH30" i="16"/>
  <c r="BE20" i="11"/>
  <c r="AN21" i="11"/>
  <c r="EB10" i="16"/>
  <c r="J19" i="21" s="1"/>
  <c r="CB31" i="16"/>
  <c r="EL10" i="16"/>
  <c r="B24" i="21" s="1"/>
  <c r="G24" i="21" s="1"/>
  <c r="BE12" i="16" l="1"/>
  <c r="AN13" i="16"/>
  <c r="CH31" i="16"/>
  <c r="EL12" i="16"/>
  <c r="B26" i="21" s="1"/>
  <c r="G26" i="21" s="1"/>
  <c r="EL11" i="16"/>
  <c r="B25" i="21" s="1"/>
  <c r="G25" i="21" s="1"/>
  <c r="EB20" i="16"/>
  <c r="J9" i="21" s="1"/>
  <c r="BE21" i="11"/>
  <c r="AN22" i="11"/>
  <c r="B7" i="12"/>
  <c r="B8" i="12" s="1"/>
  <c r="B9" i="12" s="1"/>
  <c r="D14" i="12"/>
  <c r="T6" i="12"/>
  <c r="T3" i="12"/>
  <c r="S6" i="12"/>
  <c r="S3" i="12"/>
  <c r="BE13" i="16" l="1"/>
  <c r="AN14" i="16"/>
  <c r="BE22" i="11"/>
  <c r="AN23" i="11"/>
  <c r="K7" i="12"/>
  <c r="P7" i="12"/>
  <c r="G7" i="12"/>
  <c r="N4" i="12"/>
  <c r="M7" i="12"/>
  <c r="Q4" i="12"/>
  <c r="G4" i="12"/>
  <c r="Q7" i="12"/>
  <c r="I4" i="12"/>
  <c r="J4" i="12"/>
  <c r="J7" i="12"/>
  <c r="L7" i="12"/>
  <c r="L4" i="12"/>
  <c r="M4" i="12"/>
  <c r="O4" i="12"/>
  <c r="P4" i="12"/>
  <c r="N7" i="12"/>
  <c r="O7" i="12"/>
  <c r="I7" i="12"/>
  <c r="H4" i="12"/>
  <c r="H7" i="12"/>
  <c r="R4" i="12"/>
  <c r="R7" i="12"/>
  <c r="K4" i="12"/>
  <c r="D12" i="12"/>
  <c r="BE14" i="16" l="1"/>
  <c r="AN15" i="16"/>
  <c r="BE23" i="11"/>
  <c r="AN24" i="11"/>
  <c r="K8" i="12"/>
  <c r="G5" i="12"/>
  <c r="R8" i="12"/>
  <c r="R5" i="12"/>
  <c r="Q5" i="12"/>
  <c r="H5" i="12"/>
  <c r="Q8" i="12"/>
  <c r="P8" i="12"/>
  <c r="O8" i="12"/>
  <c r="I5" i="12"/>
  <c r="N8" i="12"/>
  <c r="M8" i="12"/>
  <c r="J8" i="12"/>
  <c r="M5" i="12"/>
  <c r="O5" i="12"/>
  <c r="P5" i="12"/>
  <c r="N5" i="12"/>
  <c r="L8" i="12"/>
  <c r="H8" i="12"/>
  <c r="G8" i="12"/>
  <c r="I8" i="12"/>
  <c r="K5" i="12"/>
  <c r="L5" i="12"/>
  <c r="J5" i="12"/>
  <c r="D13" i="5"/>
  <c r="D29" i="5"/>
  <c r="I28" i="5"/>
  <c r="H28" i="5"/>
  <c r="I27" i="5"/>
  <c r="H27" i="5"/>
  <c r="I26" i="5"/>
  <c r="H26" i="5"/>
  <c r="I25" i="5"/>
  <c r="H25" i="5"/>
  <c r="I24" i="5"/>
  <c r="H24" i="5"/>
  <c r="I23" i="5"/>
  <c r="H23" i="5"/>
  <c r="I21" i="5"/>
  <c r="H21" i="5"/>
  <c r="I20" i="5"/>
  <c r="H20" i="5"/>
  <c r="I19" i="5"/>
  <c r="H19" i="5"/>
  <c r="I18" i="5"/>
  <c r="H18" i="5"/>
  <c r="I17" i="5"/>
  <c r="H17" i="5"/>
  <c r="H5" i="5"/>
  <c r="BE15" i="16" l="1"/>
  <c r="AN16" i="16"/>
  <c r="BE24" i="11"/>
  <c r="AN25" i="11"/>
  <c r="F31" i="5"/>
  <c r="D38" i="5" s="1"/>
  <c r="E38" i="5" s="1"/>
  <c r="F38" i="5" s="1"/>
  <c r="N9" i="12"/>
  <c r="L9" i="12"/>
  <c r="O9" i="12"/>
  <c r="K9" i="12"/>
  <c r="H9" i="12"/>
  <c r="I9" i="12"/>
  <c r="M9" i="12"/>
  <c r="P9" i="12"/>
  <c r="G9" i="12"/>
  <c r="Q9" i="12"/>
  <c r="R9" i="12"/>
  <c r="J9" i="12"/>
  <c r="S8" i="12"/>
  <c r="S5" i="12"/>
  <c r="D41" i="5"/>
  <c r="E41" i="5" s="1"/>
  <c r="F41" i="5" s="1"/>
  <c r="H29" i="5"/>
  <c r="D36" i="5" s="1"/>
  <c r="E36" i="5" s="1"/>
  <c r="F36" i="5" s="1"/>
  <c r="I29" i="5"/>
  <c r="D37" i="5" s="1"/>
  <c r="E37" i="5" s="1"/>
  <c r="F37" i="5" s="1"/>
  <c r="F33" i="5"/>
  <c r="F32" i="5"/>
  <c r="D42" i="5"/>
  <c r="E42" i="5" s="1"/>
  <c r="F42" i="5" s="1"/>
  <c r="D40" i="5"/>
  <c r="BE16" i="16" l="1"/>
  <c r="AN17" i="16"/>
  <c r="BE25" i="11"/>
  <c r="AN26" i="11"/>
  <c r="S9" i="12"/>
  <c r="D39" i="5"/>
  <c r="E39" i="5" s="1"/>
  <c r="F39" i="5" s="1"/>
  <c r="E40" i="5"/>
  <c r="CB12" i="23" l="1"/>
  <c r="CH12" i="23" s="1"/>
  <c r="CB45" i="25"/>
  <c r="CH45" i="25" s="1"/>
  <c r="CB34" i="25"/>
  <c r="CH34" i="25" s="1"/>
  <c r="CB56" i="24"/>
  <c r="CH56" i="24" s="1"/>
  <c r="CB34" i="23"/>
  <c r="CH34" i="23" s="1"/>
  <c r="CB23" i="23"/>
  <c r="CH23" i="23" s="1"/>
  <c r="CB12" i="25"/>
  <c r="CH12" i="25" s="1"/>
  <c r="CB45" i="24"/>
  <c r="CH45" i="24" s="1"/>
  <c r="CB12" i="22"/>
  <c r="CH12" i="22" s="1"/>
  <c r="CB45" i="23"/>
  <c r="CH45" i="23" s="1"/>
  <c r="CB23" i="25"/>
  <c r="CH23" i="25" s="1"/>
  <c r="CB56" i="23"/>
  <c r="CH56" i="23" s="1"/>
  <c r="CB23" i="24"/>
  <c r="CH23" i="24" s="1"/>
  <c r="CB56" i="25"/>
  <c r="CH56" i="25" s="1"/>
  <c r="CB12" i="24"/>
  <c r="CH12" i="24" s="1"/>
  <c r="CB56" i="22"/>
  <c r="CH56" i="22" s="1"/>
  <c r="CB45" i="22"/>
  <c r="CH45" i="22" s="1"/>
  <c r="CB34" i="22"/>
  <c r="CH34" i="22" s="1"/>
  <c r="CB34" i="24"/>
  <c r="CH34" i="24" s="1"/>
  <c r="CB23" i="22"/>
  <c r="CH23" i="22" s="1"/>
  <c r="CO23" i="24"/>
  <c r="CO23" i="25"/>
  <c r="CO23" i="22"/>
  <c r="CO23" i="23"/>
  <c r="BE17" i="16"/>
  <c r="AN18" i="16"/>
  <c r="CB56" i="11"/>
  <c r="CH56" i="11" s="1"/>
  <c r="CB45" i="11"/>
  <c r="CH45" i="11" s="1"/>
  <c r="CB23" i="11"/>
  <c r="CH23" i="11" s="1"/>
  <c r="CB12" i="11"/>
  <c r="CH12" i="11" s="1"/>
  <c r="CB34" i="11"/>
  <c r="CH34" i="11" s="1"/>
  <c r="CO23" i="11"/>
  <c r="BE26" i="11"/>
  <c r="AN27" i="11"/>
  <c r="CB34" i="16"/>
  <c r="CB45" i="16"/>
  <c r="CB12" i="16"/>
  <c r="CH12" i="16" s="1"/>
  <c r="BW7" i="16" s="1"/>
  <c r="CB23" i="16"/>
  <c r="CH23" i="16" s="1"/>
  <c r="BW8" i="16" s="1"/>
  <c r="CB56" i="16"/>
  <c r="CO23" i="16"/>
  <c r="B15" i="21" s="1"/>
  <c r="D43" i="5"/>
  <c r="E43" i="5"/>
  <c r="F40" i="5"/>
  <c r="BW8" i="25" l="1"/>
  <c r="CH25" i="25"/>
  <c r="BW10" i="23"/>
  <c r="CH47" i="23"/>
  <c r="BW7" i="22"/>
  <c r="CH14" i="22"/>
  <c r="BW10" i="24"/>
  <c r="CH47" i="24"/>
  <c r="BW7" i="25"/>
  <c r="CH14" i="25"/>
  <c r="BW8" i="22"/>
  <c r="CH25" i="22"/>
  <c r="BW8" i="23"/>
  <c r="CH25" i="23"/>
  <c r="BW11" i="23"/>
  <c r="CH58" i="23"/>
  <c r="BW9" i="23"/>
  <c r="CH36" i="23"/>
  <c r="BW11" i="24"/>
  <c r="CH58" i="24"/>
  <c r="BW9" i="25"/>
  <c r="CH36" i="25"/>
  <c r="BW9" i="24"/>
  <c r="CH36" i="24"/>
  <c r="BW10" i="22"/>
  <c r="CH47" i="22"/>
  <c r="BW10" i="25"/>
  <c r="CH47" i="25"/>
  <c r="BW9" i="22"/>
  <c r="CH36" i="22"/>
  <c r="BW11" i="22"/>
  <c r="CH58" i="22"/>
  <c r="BW7" i="24"/>
  <c r="CH14" i="24"/>
  <c r="BW11" i="25"/>
  <c r="CH58" i="25"/>
  <c r="BW8" i="24"/>
  <c r="CH25" i="24"/>
  <c r="BW7" i="23"/>
  <c r="CH14" i="23"/>
  <c r="CH56" i="16"/>
  <c r="CH58" i="16" s="1"/>
  <c r="CH34" i="16"/>
  <c r="CH36" i="16" s="1"/>
  <c r="CH45" i="16"/>
  <c r="BW10" i="16" s="1"/>
  <c r="BE18" i="16"/>
  <c r="AN19" i="16"/>
  <c r="BW7" i="11"/>
  <c r="CH14" i="11"/>
  <c r="BW10" i="11"/>
  <c r="CH47" i="11"/>
  <c r="BW11" i="11"/>
  <c r="CH58" i="11"/>
  <c r="BW8" i="11"/>
  <c r="CH25" i="11"/>
  <c r="BW9" i="11"/>
  <c r="CH36" i="11"/>
  <c r="BE27" i="11"/>
  <c r="AN28" i="11"/>
  <c r="G15" i="21"/>
  <c r="CH14" i="16"/>
  <c r="CH25" i="16"/>
  <c r="F43" i="5"/>
  <c r="BV9" i="24" l="1"/>
  <c r="BX9" i="24" s="1"/>
  <c r="CQ7" i="24"/>
  <c r="BV11" i="25"/>
  <c r="BX11" i="25" s="1"/>
  <c r="CQ9" i="25"/>
  <c r="BV7" i="24"/>
  <c r="BX7" i="24" s="1"/>
  <c r="CQ5" i="24"/>
  <c r="CQ7" i="25"/>
  <c r="BV9" i="25"/>
  <c r="BX9" i="25" s="1"/>
  <c r="BV7" i="25"/>
  <c r="BX7" i="25" s="1"/>
  <c r="CQ5" i="25"/>
  <c r="BV8" i="22"/>
  <c r="BX8" i="22" s="1"/>
  <c r="CQ6" i="22"/>
  <c r="CQ9" i="22"/>
  <c r="BV11" i="22"/>
  <c r="BX11" i="22" s="1"/>
  <c r="BV11" i="24"/>
  <c r="BX11" i="24" s="1"/>
  <c r="CQ9" i="24"/>
  <c r="BV10" i="24"/>
  <c r="BX10" i="24" s="1"/>
  <c r="CQ8" i="24"/>
  <c r="CQ5" i="22"/>
  <c r="BV7" i="22"/>
  <c r="BX7" i="22" s="1"/>
  <c r="CQ8" i="25"/>
  <c r="BV10" i="25"/>
  <c r="BX10" i="25" s="1"/>
  <c r="BV11" i="23"/>
  <c r="BX11" i="23" s="1"/>
  <c r="CQ9" i="23"/>
  <c r="BV10" i="23"/>
  <c r="BX10" i="23" s="1"/>
  <c r="CQ8" i="23"/>
  <c r="BV9" i="23"/>
  <c r="BX9" i="23" s="1"/>
  <c r="CQ7" i="23"/>
  <c r="BV8" i="24"/>
  <c r="BX8" i="24" s="1"/>
  <c r="CQ6" i="24"/>
  <c r="BV8" i="25"/>
  <c r="BX8" i="25" s="1"/>
  <c r="CQ6" i="25"/>
  <c r="BV9" i="22"/>
  <c r="BX9" i="22" s="1"/>
  <c r="CQ7" i="22"/>
  <c r="BV7" i="23"/>
  <c r="BX7" i="23" s="1"/>
  <c r="CQ5" i="23"/>
  <c r="CQ8" i="22"/>
  <c r="BV10" i="22"/>
  <c r="BX10" i="22" s="1"/>
  <c r="CQ6" i="23"/>
  <c r="BV8" i="23"/>
  <c r="BX8" i="23" s="1"/>
  <c r="BW11" i="16"/>
  <c r="CH47" i="16"/>
  <c r="CQ8" i="16" s="1"/>
  <c r="BW9" i="16"/>
  <c r="BE19" i="16"/>
  <c r="AN20" i="16"/>
  <c r="BV11" i="11"/>
  <c r="BX11" i="11" s="1"/>
  <c r="CQ9" i="11"/>
  <c r="BV10" i="11"/>
  <c r="BX10" i="11" s="1"/>
  <c r="CQ8" i="11"/>
  <c r="CQ5" i="11"/>
  <c r="BV7" i="11"/>
  <c r="BX7" i="11" s="1"/>
  <c r="CQ7" i="11"/>
  <c r="BV9" i="11"/>
  <c r="BX9" i="11" s="1"/>
  <c r="BV8" i="11"/>
  <c r="BX8" i="11" s="1"/>
  <c r="CQ6" i="11"/>
  <c r="EB21" i="11"/>
  <c r="EB21" i="16"/>
  <c r="J10" i="21" s="1"/>
  <c r="CQ6" i="16"/>
  <c r="BV8" i="16"/>
  <c r="BV9" i="16"/>
  <c r="CQ7" i="16"/>
  <c r="CQ5" i="16"/>
  <c r="BV7" i="16"/>
  <c r="BV11" i="16"/>
  <c r="CQ9" i="16"/>
  <c r="BE28" i="11"/>
  <c r="AN29" i="11"/>
  <c r="CO15" i="23" l="1"/>
  <c r="CO16" i="23" s="1"/>
  <c r="CO18" i="23" s="1"/>
  <c r="AF8" i="23" s="1"/>
  <c r="CO15" i="25"/>
  <c r="CO16" i="25" s="1"/>
  <c r="CO18" i="25" s="1"/>
  <c r="CO15" i="22"/>
  <c r="CO16" i="22" s="1"/>
  <c r="CO18" i="22" s="1"/>
  <c r="CO15" i="24"/>
  <c r="CO16" i="24" s="1"/>
  <c r="CO18" i="24" s="1"/>
  <c r="BV10" i="16"/>
  <c r="BX10" i="16" s="1"/>
  <c r="BE20" i="16"/>
  <c r="AN21" i="16"/>
  <c r="CO15" i="11"/>
  <c r="CO16" i="11" s="1"/>
  <c r="CO18" i="11" s="1"/>
  <c r="AF6" i="11" s="1"/>
  <c r="BX8" i="16"/>
  <c r="BX7" i="16"/>
  <c r="BX11" i="16"/>
  <c r="BX9" i="16"/>
  <c r="BE29" i="11"/>
  <c r="AN30" i="11"/>
  <c r="CO15" i="16"/>
  <c r="AF9" i="23" l="1"/>
  <c r="AF12" i="23"/>
  <c r="AF13" i="23"/>
  <c r="CO20" i="23"/>
  <c r="AF11" i="23"/>
  <c r="AF6" i="23"/>
  <c r="CO14" i="23"/>
  <c r="AF7" i="23"/>
  <c r="AF5" i="23"/>
  <c r="AF14" i="23"/>
  <c r="AF10" i="23"/>
  <c r="CO19" i="23"/>
  <c r="EB14" i="23"/>
  <c r="EL6" i="23" s="1"/>
  <c r="AF11" i="24"/>
  <c r="AF12" i="24"/>
  <c r="AF6" i="24"/>
  <c r="AF9" i="24"/>
  <c r="AF8" i="24"/>
  <c r="AF13" i="24"/>
  <c r="AF10" i="24"/>
  <c r="AF14" i="24"/>
  <c r="CO20" i="24"/>
  <c r="EB14" i="24"/>
  <c r="AF7" i="24"/>
  <c r="AF5" i="24"/>
  <c r="CO19" i="24"/>
  <c r="CO14" i="24"/>
  <c r="AF8" i="22"/>
  <c r="CO14" i="22"/>
  <c r="AF9" i="22"/>
  <c r="AF5" i="22"/>
  <c r="EB14" i="22"/>
  <c r="CO19" i="22"/>
  <c r="AF11" i="22"/>
  <c r="CO20" i="22"/>
  <c r="AF7" i="22"/>
  <c r="AF6" i="22"/>
  <c r="AF12" i="22"/>
  <c r="AF13" i="22"/>
  <c r="AF14" i="22"/>
  <c r="AF10" i="22"/>
  <c r="EB23" i="23"/>
  <c r="L12" i="21" s="1"/>
  <c r="L13" i="21" s="1"/>
  <c r="L20" i="21" s="1"/>
  <c r="AF11" i="25"/>
  <c r="AF13" i="25"/>
  <c r="AF6" i="25"/>
  <c r="AF10" i="25"/>
  <c r="AF9" i="25"/>
  <c r="AF14" i="25"/>
  <c r="EB14" i="25"/>
  <c r="AF12" i="25"/>
  <c r="CO20" i="25"/>
  <c r="AF5" i="25"/>
  <c r="AF8" i="25"/>
  <c r="CO19" i="25"/>
  <c r="AF7" i="25"/>
  <c r="CO14" i="25"/>
  <c r="BE21" i="16"/>
  <c r="AN22" i="16"/>
  <c r="AF9" i="11"/>
  <c r="CO14" i="11"/>
  <c r="CO20" i="11"/>
  <c r="CO19" i="11"/>
  <c r="BF11" i="11" s="1"/>
  <c r="AF12" i="11"/>
  <c r="EB14" i="11"/>
  <c r="AF14" i="11"/>
  <c r="AF13" i="11"/>
  <c r="AF10" i="11"/>
  <c r="AF11" i="11"/>
  <c r="AF8" i="11"/>
  <c r="AF5" i="11"/>
  <c r="BE30" i="11"/>
  <c r="AN31" i="11"/>
  <c r="CO16" i="16"/>
  <c r="B7" i="21"/>
  <c r="AF15" i="23" l="1"/>
  <c r="EL9" i="23" a="1"/>
  <c r="EL9" i="23" s="1"/>
  <c r="D23" i="21" s="1"/>
  <c r="EB24" i="23"/>
  <c r="AF15" i="24"/>
  <c r="EL6" i="24"/>
  <c r="EB23" i="24"/>
  <c r="M12" i="21" s="1"/>
  <c r="M13" i="21" s="1"/>
  <c r="M20" i="21" s="1"/>
  <c r="EB25" i="23"/>
  <c r="EL14" i="23"/>
  <c r="D28" i="21" s="1"/>
  <c r="EL8" i="23"/>
  <c r="D22" i="21" s="1"/>
  <c r="EL13" i="23"/>
  <c r="D20" i="21"/>
  <c r="EL5" i="23"/>
  <c r="D19" i="21" s="1"/>
  <c r="EL7" i="23"/>
  <c r="D21" i="21" s="1"/>
  <c r="EB23" i="22"/>
  <c r="K12" i="21" s="1"/>
  <c r="K13" i="21" s="1"/>
  <c r="K20" i="21" s="1"/>
  <c r="EL6" i="22"/>
  <c r="AF15" i="22"/>
  <c r="AF15" i="25"/>
  <c r="EB23" i="25"/>
  <c r="N12" i="21" s="1"/>
  <c r="N13" i="21" s="1"/>
  <c r="N20" i="21" s="1"/>
  <c r="EL6" i="25"/>
  <c r="BF41" i="11"/>
  <c r="BF27" i="11"/>
  <c r="BF33" i="11"/>
  <c r="BF10" i="11"/>
  <c r="BF36" i="11"/>
  <c r="BF24" i="11"/>
  <c r="BF14" i="11"/>
  <c r="BF42" i="11"/>
  <c r="BF32" i="11"/>
  <c r="BF21" i="11"/>
  <c r="BF29" i="11"/>
  <c r="BF23" i="11"/>
  <c r="BF44" i="11"/>
  <c r="BF31" i="11"/>
  <c r="BF8" i="11"/>
  <c r="BF26" i="11"/>
  <c r="BF35" i="11"/>
  <c r="BF20" i="11"/>
  <c r="BF17" i="11"/>
  <c r="BF37" i="11"/>
  <c r="BF40" i="11"/>
  <c r="BF28" i="11"/>
  <c r="BF39" i="11"/>
  <c r="BF38" i="11"/>
  <c r="BF46" i="11"/>
  <c r="BF16" i="11"/>
  <c r="BF7" i="11"/>
  <c r="BF15" i="11"/>
  <c r="BF12" i="11"/>
  <c r="BF45" i="11"/>
  <c r="BF13" i="11"/>
  <c r="BF18" i="11"/>
  <c r="BF30" i="11"/>
  <c r="BF25" i="11"/>
  <c r="BF34" i="11"/>
  <c r="BF9" i="11"/>
  <c r="BF43" i="11"/>
  <c r="BF6" i="11"/>
  <c r="AF15" i="11"/>
  <c r="BF22" i="11"/>
  <c r="BF19" i="11"/>
  <c r="BE22" i="16"/>
  <c r="AN23" i="16"/>
  <c r="EL6" i="11"/>
  <c r="EB23" i="11"/>
  <c r="BE31" i="11"/>
  <c r="BE56" i="11" s="1"/>
  <c r="DL8" i="11"/>
  <c r="DL16" i="11"/>
  <c r="DL6" i="11"/>
  <c r="DL25" i="11"/>
  <c r="DL12" i="11"/>
  <c r="DL27" i="11"/>
  <c r="DL13" i="11"/>
  <c r="DL26" i="11"/>
  <c r="DL14" i="11"/>
  <c r="DL19" i="11"/>
  <c r="DL22" i="11"/>
  <c r="DL15" i="11"/>
  <c r="DL21" i="11"/>
  <c r="DL20" i="11"/>
  <c r="DL23" i="11"/>
  <c r="DL29" i="11"/>
  <c r="DL24" i="11"/>
  <c r="DL17" i="11"/>
  <c r="DL18" i="11"/>
  <c r="DL9" i="11"/>
  <c r="DL10" i="11"/>
  <c r="DL7" i="11"/>
  <c r="DL11" i="11"/>
  <c r="DL28" i="11"/>
  <c r="G7" i="21"/>
  <c r="CO18" i="16"/>
  <c r="B8" i="21"/>
  <c r="EB24" i="22" l="1"/>
  <c r="EL13" i="22" s="1"/>
  <c r="EL9" i="22" a="1"/>
  <c r="EL9" i="22" s="1"/>
  <c r="C23" i="21" s="1"/>
  <c r="EL9" i="24" a="1"/>
  <c r="EL9" i="24" s="1"/>
  <c r="E23" i="21" s="1"/>
  <c r="EL9" i="25" a="1"/>
  <c r="EL9" i="25" s="1"/>
  <c r="F23" i="21" s="1"/>
  <c r="EB24" i="25"/>
  <c r="EL14" i="25" s="1"/>
  <c r="F28" i="21" s="1"/>
  <c r="EB24" i="24"/>
  <c r="EL13" i="24" s="1"/>
  <c r="F20" i="21"/>
  <c r="EL5" i="25"/>
  <c r="F19" i="21" s="1"/>
  <c r="EL7" i="25"/>
  <c r="F21" i="21" s="1"/>
  <c r="EL17" i="23"/>
  <c r="D31" i="21" s="1"/>
  <c r="D27" i="21"/>
  <c r="EL15" i="23"/>
  <c r="D29" i="21" s="1"/>
  <c r="EL16" i="23"/>
  <c r="D30" i="21" s="1"/>
  <c r="EL14" i="24"/>
  <c r="E28" i="21" s="1"/>
  <c r="EL8" i="24"/>
  <c r="E22" i="21" s="1"/>
  <c r="EB25" i="22"/>
  <c r="EL8" i="22"/>
  <c r="C22" i="21" s="1"/>
  <c r="EL14" i="22"/>
  <c r="C28" i="21" s="1"/>
  <c r="EL5" i="22"/>
  <c r="C19" i="21" s="1"/>
  <c r="C20" i="21"/>
  <c r="EL7" i="22"/>
  <c r="C21" i="21" s="1"/>
  <c r="E20" i="21"/>
  <c r="EL7" i="24"/>
  <c r="E21" i="21" s="1"/>
  <c r="EL5" i="24"/>
  <c r="E19" i="21" s="1"/>
  <c r="BF56" i="11"/>
  <c r="BE23" i="16"/>
  <c r="AN24" i="16"/>
  <c r="EB24" i="11"/>
  <c r="EL9" i="11"/>
  <c r="EL5" i="11"/>
  <c r="EL7" i="11"/>
  <c r="G8" i="21"/>
  <c r="B10" i="21"/>
  <c r="AF8" i="16"/>
  <c r="AF5" i="16"/>
  <c r="CO20" i="16"/>
  <c r="B12" i="21" s="1"/>
  <c r="CO14" i="16"/>
  <c r="B6" i="21" s="1"/>
  <c r="AF7" i="16"/>
  <c r="AF12" i="16"/>
  <c r="AF13" i="16"/>
  <c r="AF9" i="16"/>
  <c r="AF14" i="16"/>
  <c r="EB14" i="16"/>
  <c r="CO19" i="16"/>
  <c r="AF11" i="16"/>
  <c r="AF10" i="16"/>
  <c r="AF6" i="16"/>
  <c r="EB25" i="24" l="1"/>
  <c r="EL13" i="25"/>
  <c r="F27" i="21" s="1"/>
  <c r="EL8" i="25"/>
  <c r="F22" i="21" s="1"/>
  <c r="EB25" i="25"/>
  <c r="EL15" i="25" s="1"/>
  <c r="F29" i="21" s="1"/>
  <c r="EL17" i="24"/>
  <c r="E31" i="21" s="1"/>
  <c r="E27" i="21"/>
  <c r="EL17" i="25"/>
  <c r="F31" i="21" s="1"/>
  <c r="EL15" i="22"/>
  <c r="C29" i="21" s="1"/>
  <c r="EL16" i="22"/>
  <c r="C30" i="21" s="1"/>
  <c r="EL17" i="22"/>
  <c r="C31" i="21" s="1"/>
  <c r="C27" i="21"/>
  <c r="EL15" i="24"/>
  <c r="E29" i="21" s="1"/>
  <c r="EL16" i="24"/>
  <c r="E30" i="21" s="1"/>
  <c r="BF14" i="16"/>
  <c r="BF15" i="16"/>
  <c r="BF13" i="16"/>
  <c r="BF12" i="16"/>
  <c r="BF11" i="16"/>
  <c r="BF22" i="16"/>
  <c r="BF10" i="16"/>
  <c r="BF21" i="16"/>
  <c r="BF9" i="16"/>
  <c r="BF20" i="16"/>
  <c r="BF8" i="16"/>
  <c r="BF19" i="16"/>
  <c r="BF7" i="16"/>
  <c r="BF18" i="16"/>
  <c r="BF6" i="16"/>
  <c r="BF17" i="16"/>
  <c r="BF16" i="16"/>
  <c r="B11" i="21"/>
  <c r="G11" i="21" s="1"/>
  <c r="BE24" i="16"/>
  <c r="AN25" i="16"/>
  <c r="EB25" i="11"/>
  <c r="EL14" i="11"/>
  <c r="EL13" i="11"/>
  <c r="EL17" i="11" s="1"/>
  <c r="EL8" i="11"/>
  <c r="G6" i="21"/>
  <c r="G12" i="21"/>
  <c r="EL6" i="16"/>
  <c r="EB23" i="16"/>
  <c r="EL9" i="16" s="1" a="1"/>
  <c r="EL9" i="16" s="1"/>
  <c r="AF15" i="16"/>
  <c r="J6" i="21"/>
  <c r="G10" i="21"/>
  <c r="EL16" i="25" l="1"/>
  <c r="F30" i="21" s="1"/>
  <c r="BF56" i="16"/>
  <c r="BE25" i="16"/>
  <c r="AN26" i="16"/>
  <c r="EL16" i="11"/>
  <c r="EL15" i="11"/>
  <c r="EB24" i="16"/>
  <c r="J12" i="21"/>
  <c r="B23" i="21"/>
  <c r="EL5" i="16"/>
  <c r="B19" i="21" s="1"/>
  <c r="B20" i="21"/>
  <c r="EL7" i="16"/>
  <c r="B21" i="21" s="1"/>
  <c r="J13" i="21" l="1"/>
  <c r="J20" i="21" s="1"/>
  <c r="BE26" i="16"/>
  <c r="AN27" i="16"/>
  <c r="G21" i="21"/>
  <c r="G20" i="21"/>
  <c r="G19" i="21"/>
  <c r="G23" i="21"/>
  <c r="EB25" i="16"/>
  <c r="EL14" i="16"/>
  <c r="B28" i="21" s="1"/>
  <c r="EL13" i="16"/>
  <c r="EL8" i="16"/>
  <c r="B22" i="21" s="1"/>
  <c r="BE27" i="16" l="1"/>
  <c r="AN28" i="16"/>
  <c r="G22" i="21"/>
  <c r="G28" i="21"/>
  <c r="EL17" i="16"/>
  <c r="B31" i="21" s="1"/>
  <c r="B27" i="21"/>
  <c r="EL15" i="16"/>
  <c r="B29" i="21" s="1"/>
  <c r="EL16" i="16"/>
  <c r="B30" i="21" s="1"/>
  <c r="BE28" i="16" l="1"/>
  <c r="AN29" i="16"/>
  <c r="G30" i="21"/>
  <c r="G27" i="21"/>
  <c r="G29" i="21"/>
  <c r="G31" i="21"/>
  <c r="BE29" i="16" l="1"/>
  <c r="AN30" i="16"/>
  <c r="BE30" i="16" l="1"/>
  <c r="AN31" i="16"/>
  <c r="BE31" i="16" l="1"/>
  <c r="AN32" i="16"/>
  <c r="BE32" i="16" l="1"/>
  <c r="AN33" i="16"/>
  <c r="BE33" i="16" l="1"/>
  <c r="AN34" i="16"/>
  <c r="BE34" i="16" l="1"/>
  <c r="AN35" i="16"/>
  <c r="BE35" i="16" l="1"/>
  <c r="AN36" i="16"/>
  <c r="BE36" i="16" l="1"/>
  <c r="AN37" i="16"/>
  <c r="BE37" i="16" l="1"/>
  <c r="AN38" i="16"/>
  <c r="BE38" i="16" l="1"/>
  <c r="AN39" i="16"/>
  <c r="BE39" i="16" l="1"/>
  <c r="AN40" i="16"/>
  <c r="BE40" i="16" l="1"/>
  <c r="AN41" i="16"/>
  <c r="BE41" i="16" l="1"/>
  <c r="AN42" i="16"/>
  <c r="BE42" i="16" l="1"/>
  <c r="AN43" i="16"/>
  <c r="BE43" i="16" l="1"/>
  <c r="AN44" i="16"/>
  <c r="BE44" i="16" l="1"/>
  <c r="AN45" i="16"/>
  <c r="BE45" i="16" l="1"/>
  <c r="AN46" i="16"/>
  <c r="BE46" i="16" l="1"/>
  <c r="AN47" i="16"/>
  <c r="BE47" i="16" l="1"/>
  <c r="AN48" i="16"/>
  <c r="BE48" i="16" l="1"/>
  <c r="AN49" i="16"/>
  <c r="BE49" i="16" l="1"/>
  <c r="AN50" i="16"/>
  <c r="BE50" i="16" l="1"/>
  <c r="AN51" i="16"/>
  <c r="BE51" i="16" l="1"/>
  <c r="AN52" i="16"/>
  <c r="BE52" i="16" l="1"/>
  <c r="AN53" i="16"/>
  <c r="BE53" i="16" l="1"/>
  <c r="AN54" i="16"/>
  <c r="BE54" i="16" l="1"/>
  <c r="AN55" i="16"/>
  <c r="BE55" i="16" l="1"/>
  <c r="BE56" i="16" s="1"/>
  <c r="DL24" i="16"/>
  <c r="DL27" i="16"/>
  <c r="DL22" i="16"/>
  <c r="DL10" i="16"/>
  <c r="DL19" i="16"/>
  <c r="DL25" i="16"/>
  <c r="DL20" i="16"/>
  <c r="DL21" i="16"/>
  <c r="DL18" i="16"/>
  <c r="DL12" i="16"/>
  <c r="DL8" i="16"/>
  <c r="DL13" i="16"/>
  <c r="DL16" i="16"/>
  <c r="DL17" i="16"/>
  <c r="DL28" i="16"/>
  <c r="DL29" i="16"/>
  <c r="DL15" i="16"/>
  <c r="DL23" i="16"/>
  <c r="DL5" i="16"/>
  <c r="DL7" i="16"/>
  <c r="DL11" i="16"/>
  <c r="DL14" i="16"/>
  <c r="DL9" i="16"/>
  <c r="DL6" i="16"/>
  <c r="DL26"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Horner, Joe L.</author>
  </authors>
  <commentList>
    <comment ref="D13" authorId="0" shapeId="0" xr:uid="{00000000-0006-0000-0300-000001000000}">
      <text>
        <r>
          <rPr>
            <b/>
            <sz val="9"/>
            <color indexed="81"/>
            <rFont val="Tahoma"/>
            <family val="2"/>
          </rPr>
          <t>Horner, Joe L.:</t>
        </r>
        <r>
          <rPr>
            <sz val="9"/>
            <color indexed="81"/>
            <rFont val="Tahoma"/>
            <family val="2"/>
          </rPr>
          <t xml:space="preserve">
Estimated fuel use at 0.044 galoon /PTOHP/Hr source: UMN Machinery Cost Guide.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<sst xmlns="http://schemas.openxmlformats.org/spreadsheetml/2006/main" count="2013" uniqueCount="435">
  <si>
    <t xml:space="preserve">  head</t>
  </si>
  <si>
    <t xml:space="preserve">  days</t>
  </si>
  <si>
    <t>Professional fees (legal, accounting, etc.)</t>
  </si>
  <si>
    <t>Miscellaneous</t>
  </si>
  <si>
    <t>Total</t>
  </si>
  <si>
    <t xml:space="preserve">  percent</t>
  </si>
  <si>
    <t>Viral vaccine</t>
  </si>
  <si>
    <t>Clostridal vaccine</t>
  </si>
  <si>
    <t>Bacterial vaccine</t>
  </si>
  <si>
    <t>Interest on operating costs</t>
  </si>
  <si>
    <t>Per Head</t>
  </si>
  <si>
    <t>Operation information</t>
  </si>
  <si>
    <t>Labor</t>
  </si>
  <si>
    <t>Utilities</t>
  </si>
  <si>
    <t xml:space="preserve">  $ per month</t>
  </si>
  <si>
    <t>Facilties and Equipment</t>
  </si>
  <si>
    <t>Value ($)</t>
  </si>
  <si>
    <t>Per Year</t>
  </si>
  <si>
    <t>Fencing</t>
  </si>
  <si>
    <t>Other</t>
  </si>
  <si>
    <t xml:space="preserve">   Interest rate on facilities and equipment</t>
  </si>
  <si>
    <t xml:space="preserve"> per year</t>
  </si>
  <si>
    <t xml:space="preserve">   Insurance rate on facilities and equipment</t>
  </si>
  <si>
    <t>Summary</t>
  </si>
  <si>
    <t>Per Day</t>
  </si>
  <si>
    <t>Facilities and equipment depreciation</t>
  </si>
  <si>
    <t>Facilities and equipment repairs</t>
  </si>
  <si>
    <t>Facilities and equipment interest</t>
  </si>
  <si>
    <t>Facilities and equipment insurance and taxes</t>
  </si>
  <si>
    <t>Fuel and oil</t>
  </si>
  <si>
    <t>How many head does your operation hold?</t>
  </si>
  <si>
    <t>How many head does you feed per year?</t>
  </si>
  <si>
    <t>Average days on feed per group</t>
  </si>
  <si>
    <t>Avg. turns per year</t>
  </si>
  <si>
    <t>Parasite control</t>
  </si>
  <si>
    <t>Blackleg</t>
  </si>
  <si>
    <t xml:space="preserve">   Property tax rate on facilities and equipment</t>
  </si>
  <si>
    <t>Total feed cost per lb of gain</t>
  </si>
  <si>
    <t>Total feed cost per day</t>
  </si>
  <si>
    <t>Price insurance (hedging, LRP, option premium)</t>
  </si>
  <si>
    <t>Salvage Value (%)</t>
  </si>
  <si>
    <t>Useful Life (years)</t>
  </si>
  <si>
    <t>Repair Rate</t>
  </si>
  <si>
    <t>Depreciation Per Year</t>
  </si>
  <si>
    <t>Repairs Per Year</t>
  </si>
  <si>
    <t>days</t>
  </si>
  <si>
    <t>$ per head</t>
  </si>
  <si>
    <t>percent</t>
  </si>
  <si>
    <t>{"ButtonStyle":0,"Name":"","HideSscPoweredlogo":false,"CopyProtect":{"IsEnabled":false,"DomainName":""},"Theme":{"BgColor":"#FFFFFFFF","BgImage":"","InputBorderStyle":2},"Layout":0,"SmartphoneSettings":{"ViewportLock":true,"UseOldViewEngine":false,"EnableZoom":false,"EnableSwipe":false,"HideToolbar":false,"CheckboxFlavor":1},"SmartphoneTheme":0,"InputDetection":0,"Toolbar":{"Position":1,"IsSubmit":true,"IsPrint":true,"IsPrintAll":false,"IsReset":true,"IsUpdate":true},"AspnetConfig":{"BrowseUrl":"http://localhost/ssc","FileExtension":0},"ConfigureSubmit":{"IsShowCaptcha":false,"IsUseSscWebServer":true,"ReceiverCode":"","IsFreeService":false,"IsAdvanceService":false,"IsDemonstrationService":true,"AfterSuccessfulSubmit":"","AfterFailSubmit":"","AfterCancelWizard":"","IsUseOwnWebServer":false,"OwnWebServerURL":"","OwnWebServerTarget":""},"Flavor":-1,"Edition":0,"IgnoreBgInputCell":false}</t>
  </si>
  <si>
    <t>{"Captcha":{"Heading":"Enter the number displayed below.","Message":"This is to verify that you are a human visitor, to prevent automated form submissions.","OkButton":"OK","CancelButton":"Cancel","ErrorMessage":"Your answer is incorrect, please try again."},"RequiredField":{"ErrorMessage":"The fields with the red border are required.","OkButton":"OK"},"WizardButton":{"Next":"Next","Previous":"Previous","Cancel":"Cancel","Finish":"Finish"},"ToolbarButton":{"Submit":"Submit","Print":"Print","PrintAll":"Print All","Reset":"Reset","Update":"Update"},"BrowserAndLocation":{"Browsers":[{"Name":"iexplore.exe"},{"Name":"chrome.exe"},{"Name":"firefox.exe"}],"ConversionPath":"C:\\Users\\georgecr\\Documents\\SpreadsheetConverter"},"AdvancedSettingsModels":[{"Name":6,"Checked":false,"Text":null,"Double":null,"Value":null},{"Name":2,"Checked":true,"Text":null,"Double":null,"Value":null},{"Name":3,"Checked":false,"Text":null,"Double":null,"Value":null},{"Name":4,"Checked":null,"Text":"","Double":null,"Value":null}],"Dropbox":{"AccessToken":"","AccessSecret":""},"SpreadsheetServer":{"Username":"","Password":"","ServerUrl":""}}</t>
  </si>
  <si>
    <t>{"IsHide":false,"SheetId":6,"Name":"Input","HiddenRow":6,"VisibleRange":"","SheetTheme":{"TabColor":"","BodyColor":"","BodyImage":""}}</t>
  </si>
  <si>
    <t>{"IsHide":true,"SheetId":2,"Name":"Budget","HiddenRow":2,"VisibleRange":"","SheetTheme":{"TabColor":"","BodyColor":"","BodyImage":""}}</t>
  </si>
  <si>
    <t>{"IsHide":true,"SheetId":5,"Name":"Yardage Calculator","HiddenRow":5,"VisibleRange":"","SheetTheme":{"TabColor":"","BodyColor":"","BodyImage":""}}</t>
  </si>
  <si>
    <t>REMOVED</t>
  </si>
  <si>
    <t>$ per cwt</t>
  </si>
  <si>
    <t>$/ cwt</t>
  </si>
  <si>
    <t>% of total sales</t>
  </si>
  <si>
    <t>Total Yardage Cost</t>
  </si>
  <si>
    <t>Totals</t>
  </si>
  <si>
    <t>Total feed cost per head</t>
  </si>
  <si>
    <t xml:space="preserve">Cost of labor </t>
  </si>
  <si>
    <t xml:space="preserve">  $ per hour</t>
  </si>
  <si>
    <t xml:space="preserve">Labor </t>
  </si>
  <si>
    <t xml:space="preserve">No worries.  Check this website out for answers.  https://www.asi.k-state.edu/about/newsletters/focus-on-feedlots/monthly-reports.html  They have really good data on questions #2 and #3.  </t>
  </si>
  <si>
    <t>As for rations…  Price the supplement around $600 per ton.  That’s middle of the road for minerals, vitamins and additives.  Here are a couple of examples.</t>
  </si>
  <si>
    <t>55% corn</t>
  </si>
  <si>
    <t>20% silage</t>
  </si>
  <si>
    <t xml:space="preserve">20% distillers grains </t>
  </si>
  <si>
    <t xml:space="preserve">5% supplement </t>
  </si>
  <si>
    <t>65% corn</t>
  </si>
  <si>
    <t>10% hay or corn stalks</t>
  </si>
  <si>
    <t>20% distillers grains</t>
  </si>
  <si>
    <t>5% supplement</t>
  </si>
  <si>
    <t>No byproduct, self-feeder type ration</t>
  </si>
  <si>
    <t>20% roughage (self-selected)</t>
  </si>
  <si>
    <t xml:space="preserve">70% corn </t>
  </si>
  <si>
    <t>10% commercial protein pellet</t>
  </si>
  <si>
    <t xml:space="preserve">I’m guessing the distance to slaughter will vary quite a bit.  It could be anywhere from 150-300 miles, depending on the place.  It is 230 miles from MU Thompson to Pleasant Hope.  </t>
  </si>
  <si>
    <t>Let me know if I can help with anything else.</t>
  </si>
  <si>
    <t>Regards,</t>
  </si>
  <si>
    <t xml:space="preserve">Eric </t>
  </si>
  <si>
    <t>From: Horner, Joe L. &lt;HornerJ@missouri.edu&gt;</t>
  </si>
  <si>
    <r>
      <t>Sent:</t>
    </r>
    <r>
      <rPr>
        <sz val="11"/>
        <color theme="1"/>
        <rFont val="Calibri"/>
        <family val="2"/>
        <scheme val="minor"/>
      </rPr>
      <t xml:space="preserve"> Tuesday, July 20, 2021 1:43 PM</t>
    </r>
  </si>
  <si>
    <r>
      <t>To:</t>
    </r>
    <r>
      <rPr>
        <sz val="11"/>
        <color theme="1"/>
        <rFont val="Calibri"/>
        <family val="2"/>
        <scheme val="minor"/>
      </rPr>
      <t xml:space="preserve"> Bailey, Eric &lt;baileyeric@missouri.edu&gt;; Humphrey, James R. &lt;humphreyjr@missouri.edu&gt;</t>
    </r>
  </si>
  <si>
    <t>Cc: Tucker, Wesley E. &lt;tuckerw@missouri.edu&gt;</t>
  </si>
  <si>
    <r>
      <t>Subject:</t>
    </r>
    <r>
      <rPr>
        <sz val="11"/>
        <color theme="1"/>
        <rFont val="Calibri"/>
        <family val="2"/>
        <scheme val="minor"/>
      </rPr>
      <t xml:space="preserve"> Can one of you point me to some sample rations for finishing?</t>
    </r>
  </si>
  <si>
    <t>Eric,</t>
  </si>
  <si>
    <t>Hate to bother you before you leave on vacation, so I’m copying Jim too with a few questions I had as I build budgets and case studies.</t>
  </si>
  <si>
    <t>1. Do you have typical rations you suggest or can point me toward?</t>
  </si>
  <si>
    <t>2. In weight and out weight</t>
  </si>
  <si>
    <t>3. ADG on Heifers and Steers?</t>
  </si>
  <si>
    <t>4. Trucking distance to slaughter?</t>
  </si>
  <si>
    <t>Thanks,</t>
  </si>
  <si>
    <t>Joe</t>
  </si>
  <si>
    <t>Joe Horner</t>
  </si>
  <si>
    <t>Shrink</t>
  </si>
  <si>
    <t>Marketing costs (sales commission)</t>
  </si>
  <si>
    <t>Tractor horse power</t>
  </si>
  <si>
    <t>Fuel price per gallon</t>
  </si>
  <si>
    <t>Tractor usage per day</t>
  </si>
  <si>
    <t>Fuel and oil costs</t>
  </si>
  <si>
    <t>Corn silage</t>
  </si>
  <si>
    <t>Total gain</t>
  </si>
  <si>
    <t>Dried distiller's grains</t>
  </si>
  <si>
    <t xml:space="preserve">  minutes per day</t>
  </si>
  <si>
    <t xml:space="preserve">  $/gallon</t>
  </si>
  <si>
    <t xml:space="preserve">  $/day</t>
  </si>
  <si>
    <t>Sex</t>
  </si>
  <si>
    <t xml:space="preserve">Total $ </t>
  </si>
  <si>
    <t>Date of purchase</t>
  </si>
  <si>
    <t>Description</t>
  </si>
  <si>
    <t>Cost</t>
  </si>
  <si>
    <t>Wormer</t>
  </si>
  <si>
    <t>PlumoGuard</t>
  </si>
  <si>
    <t>Inforce 3</t>
  </si>
  <si>
    <t>Synovex S</t>
  </si>
  <si>
    <t>Blackleg (Vision 7 + Sommnus)</t>
  </si>
  <si>
    <t>Presponse HM</t>
  </si>
  <si>
    <t>Pyramid 5 + presponse</t>
  </si>
  <si>
    <t>Blackleg (Vision 7 + Sommnus) &amp; Vision CDT</t>
  </si>
  <si>
    <t>Insurance</t>
  </si>
  <si>
    <t>LRP Policy</t>
  </si>
  <si>
    <t>Feed</t>
  </si>
  <si>
    <t>Grain</t>
  </si>
  <si>
    <t>Interest</t>
  </si>
  <si>
    <t xml:space="preserve"> </t>
  </si>
  <si>
    <t>Margin</t>
  </si>
  <si>
    <t>$30/Hd</t>
  </si>
  <si>
    <t>Total Expenses</t>
  </si>
  <si>
    <t>Tag #</t>
  </si>
  <si>
    <t>ADG</t>
  </si>
  <si>
    <t>Weigh 2</t>
  </si>
  <si>
    <t>Weigh 3</t>
  </si>
  <si>
    <t>Weigh 4</t>
  </si>
  <si>
    <t>Cumulative ADG</t>
  </si>
  <si>
    <t>Steer</t>
  </si>
  <si>
    <t>Type</t>
  </si>
  <si>
    <t>Gross Margin</t>
  </si>
  <si>
    <t>Average</t>
  </si>
  <si>
    <t>An AUM is defined as the forage required to sustain 1000 pounds of grazing livestock for an average month (30.5 days).</t>
  </si>
  <si>
    <t>DM tons per acre</t>
  </si>
  <si>
    <t>Warm season</t>
  </si>
  <si>
    <t>Cool season</t>
  </si>
  <si>
    <t>Month</t>
  </si>
  <si>
    <t>Jan</t>
  </si>
  <si>
    <t>Feb</t>
  </si>
  <si>
    <t>Mar</t>
  </si>
  <si>
    <t>Apr</t>
  </si>
  <si>
    <t>May</t>
  </si>
  <si>
    <t>Jun</t>
  </si>
  <si>
    <t>Jul</t>
  </si>
  <si>
    <t>Aug</t>
  </si>
  <si>
    <t>Sep</t>
  </si>
  <si>
    <t>Oct</t>
  </si>
  <si>
    <t>Nov</t>
  </si>
  <si>
    <t>Dec</t>
  </si>
  <si>
    <t>Rotation frequency</t>
  </si>
  <si>
    <t>Utilization rate</t>
  </si>
  <si>
    <t>Length</t>
  </si>
  <si>
    <t>$/acre</t>
  </si>
  <si>
    <t>Pasture rental value</t>
  </si>
  <si>
    <t>Annual forage yield</t>
  </si>
  <si>
    <t>Utilized forage</t>
  </si>
  <si>
    <t>30 or more</t>
  </si>
  <si>
    <t>Continuous</t>
  </si>
  <si>
    <t>1 to 2</t>
  </si>
  <si>
    <t>3 to 5</t>
  </si>
  <si>
    <t>6 to 10</t>
  </si>
  <si>
    <t>11 to 14</t>
  </si>
  <si>
    <t>15 to 30</t>
  </si>
  <si>
    <t>Annual usable forage</t>
  </si>
  <si>
    <t>pounds</t>
  </si>
  <si>
    <t>Value of AUM WS</t>
  </si>
  <si>
    <t>Value of AUM CS</t>
  </si>
  <si>
    <t>Non-growth months</t>
  </si>
  <si>
    <t>Fertilizer applied</t>
  </si>
  <si>
    <t>$ per acre</t>
  </si>
  <si>
    <t>Cost per usable pound</t>
  </si>
  <si>
    <t>AUM available</t>
  </si>
  <si>
    <t>AUM per acre</t>
  </si>
  <si>
    <t>Roughly 780 pounds of dry forage material comprises 1 AUM.</t>
  </si>
  <si>
    <t>Hay price per pound</t>
  </si>
  <si>
    <t>Hay replacement AUM value</t>
  </si>
  <si>
    <t>Effective cost</t>
  </si>
  <si>
    <t>AUM produced</t>
  </si>
  <si>
    <t>$/CWT</t>
  </si>
  <si>
    <t>Lot summary</t>
  </si>
  <si>
    <t>Close out</t>
  </si>
  <si>
    <t>Intake group</t>
  </si>
  <si>
    <t>Intake date</t>
  </si>
  <si>
    <t>Non-Feed Animal Expenses</t>
  </si>
  <si>
    <t>Vaccinations</t>
  </si>
  <si>
    <t>Yardage</t>
  </si>
  <si>
    <t>Vaccinations, tags, and implants*</t>
  </si>
  <si>
    <t>Animal expenses</t>
  </si>
  <si>
    <t>Tag number</t>
  </si>
  <si>
    <t>Individual Animal treatments</t>
  </si>
  <si>
    <t>Total expense</t>
  </si>
  <si>
    <t>Cost of treatment</t>
  </si>
  <si>
    <t>Applications</t>
  </si>
  <si>
    <t>Return to navigation menu</t>
  </si>
  <si>
    <t>Warm season growth</t>
  </si>
  <si>
    <t>Cool season growth</t>
  </si>
  <si>
    <t>Feed Summary</t>
  </si>
  <si>
    <t>Price per ton</t>
  </si>
  <si>
    <t>Feedstuff dry matter %</t>
  </si>
  <si>
    <t>% of diet (DM)</t>
  </si>
  <si>
    <t>Cost per ton, as-fed</t>
  </si>
  <si>
    <t>Total cost per ton, as-fed</t>
  </si>
  <si>
    <t>Cost per ton, DM</t>
  </si>
  <si>
    <t>AUM forage DM</t>
  </si>
  <si>
    <t>AUM per ton</t>
  </si>
  <si>
    <t>Feed Ingredient Listing</t>
  </si>
  <si>
    <t>Mineral</t>
  </si>
  <si>
    <t>Cotton seed</t>
  </si>
  <si>
    <t>Soy hulls</t>
  </si>
  <si>
    <t>High moisture corn</t>
  </si>
  <si>
    <t>Mixed grass hay</t>
  </si>
  <si>
    <t>Shelled corn</t>
  </si>
  <si>
    <t>Ration list</t>
  </si>
  <si>
    <t>Ration name</t>
  </si>
  <si>
    <t>Cost per ton, as fed</t>
  </si>
  <si>
    <t>Pasture consumed (AUM)</t>
  </si>
  <si>
    <t>Feed conversion ratio (lb feed/lb gain)</t>
  </si>
  <si>
    <t>Average daily consumption, DM pounds/hd</t>
  </si>
  <si>
    <t>Mixed ration tons fed</t>
  </si>
  <si>
    <t>Total cost per ton, as-fed*</t>
  </si>
  <si>
    <t>*Grazed forage cost per ton is not calculated on an as-fed basis</t>
  </si>
  <si>
    <t>Cost of grazed forage, $ per ton</t>
  </si>
  <si>
    <t>Mixed feed ration $ per ton</t>
  </si>
  <si>
    <t>Pasture consumed, $ per head</t>
  </si>
  <si>
    <t>% of diet grazed, DM basis</t>
  </si>
  <si>
    <t>Purchased animal</t>
  </si>
  <si>
    <t>Tons fed, per head</t>
  </si>
  <si>
    <t>Tons fed, total</t>
  </si>
  <si>
    <t>Individual treatments</t>
  </si>
  <si>
    <t>Total individual animal expenses</t>
  </si>
  <si>
    <t>Professional fees</t>
  </si>
  <si>
    <t>Buyer's commission</t>
  </si>
  <si>
    <t>Risk management</t>
  </si>
  <si>
    <t>Operating interest</t>
  </si>
  <si>
    <t xml:space="preserve">Transportation </t>
  </si>
  <si>
    <t>Marketing</t>
  </si>
  <si>
    <t>To and from site</t>
  </si>
  <si>
    <t>Death loss</t>
  </si>
  <si>
    <t>Chronic culls</t>
  </si>
  <si>
    <t xml:space="preserve"> Grower-Finisher Budget, per head</t>
  </si>
  <si>
    <t>Income</t>
  </si>
  <si>
    <t>Outgoing calves</t>
  </si>
  <si>
    <t>Item</t>
  </si>
  <si>
    <t>Expenses</t>
  </si>
  <si>
    <t>Average calf weight over term of ownership</t>
  </si>
  <si>
    <t>Total revenue</t>
  </si>
  <si>
    <t>Financial Analysis</t>
  </si>
  <si>
    <t>Average daily gain, pounds per head</t>
  </si>
  <si>
    <t>Average weight gain, per head</t>
  </si>
  <si>
    <t>Total feed costs</t>
  </si>
  <si>
    <t>Feed cost per pound of gain</t>
  </si>
  <si>
    <t>Value</t>
  </si>
  <si>
    <t>Revenue per head</t>
  </si>
  <si>
    <t>Expenses per head</t>
  </si>
  <si>
    <t>Return on investment</t>
  </si>
  <si>
    <t>Grower-finisher budget</t>
  </si>
  <si>
    <t>Individual animal treatments</t>
  </si>
  <si>
    <t>Animal information input</t>
  </si>
  <si>
    <t>Total Revenue,</t>
  </si>
  <si>
    <t>Breakeven price per pound</t>
  </si>
  <si>
    <t xml:space="preserve">Cost of gain per pound </t>
  </si>
  <si>
    <t>Value of gain per pound</t>
  </si>
  <si>
    <t>Total gross margin</t>
  </si>
  <si>
    <t>Gross margin per head</t>
  </si>
  <si>
    <t>Gross margin per pound</t>
  </si>
  <si>
    <t>Navigation menu</t>
  </si>
  <si>
    <t>Feed summary</t>
  </si>
  <si>
    <t>Pasture rental rate</t>
  </si>
  <si>
    <t>Grazing rotation frequency</t>
  </si>
  <si>
    <t>Transportation (inbound and departure)</t>
  </si>
  <si>
    <t>Annual pasture yield</t>
  </si>
  <si>
    <t>Weighing Dates</t>
  </si>
  <si>
    <t>DOF</t>
  </si>
  <si>
    <t>Total DOF</t>
  </si>
  <si>
    <t>Veterinary</t>
  </si>
  <si>
    <t>End tag</t>
  </si>
  <si>
    <t>Group start tag</t>
  </si>
  <si>
    <t>Animal information</t>
  </si>
  <si>
    <t>Buy ticket weight</t>
  </si>
  <si>
    <t>Lot Summary</t>
  </si>
  <si>
    <t>Sale ticket weight</t>
  </si>
  <si>
    <t>Starter</t>
  </si>
  <si>
    <t>Pasture supplement</t>
  </si>
  <si>
    <t>Mid-weight dry lot</t>
  </si>
  <si>
    <t>Finisher</t>
  </si>
  <si>
    <t>Pricing date</t>
  </si>
  <si>
    <t>ENTER RATION NAME HERE</t>
  </si>
  <si>
    <t>Feed start date</t>
  </si>
  <si>
    <t>Feed end date</t>
  </si>
  <si>
    <t>Days fed</t>
  </si>
  <si>
    <t>DP1</t>
  </si>
  <si>
    <t>DP2</t>
  </si>
  <si>
    <t>DP3</t>
  </si>
  <si>
    <t>DP4</t>
  </si>
  <si>
    <t>Died</t>
  </si>
  <si>
    <t>Culled</t>
  </si>
  <si>
    <t>Culls</t>
  </si>
  <si>
    <t>Drug name</t>
  </si>
  <si>
    <t>Use</t>
  </si>
  <si>
    <t>Cost per dose</t>
  </si>
  <si>
    <t>All</t>
  </si>
  <si>
    <t>Individual</t>
  </si>
  <si>
    <t>IBR, BVD, PI3, BRSV, pasteurella</t>
  </si>
  <si>
    <t>Dosing type</t>
  </si>
  <si>
    <t>Mannahemia, Histophilus, etc.</t>
  </si>
  <si>
    <t>de-wormer, de-louser</t>
  </si>
  <si>
    <t>Implants</t>
  </si>
  <si>
    <t>Growth regulators</t>
  </si>
  <si>
    <t>General veterinary expense</t>
  </si>
  <si>
    <t>Ear tags</t>
  </si>
  <si>
    <t>2 Z tags</t>
  </si>
  <si>
    <t>General veterinary service</t>
  </si>
  <si>
    <t>General antibiotic</t>
  </si>
  <si>
    <t>LA 300</t>
  </si>
  <si>
    <t>Drug used</t>
  </si>
  <si>
    <t>Reason for treatment</t>
  </si>
  <si>
    <t>Needles</t>
  </si>
  <si>
    <t>OB gloves</t>
  </si>
  <si>
    <t>General treatments</t>
  </si>
  <si>
    <t>DM Pounds/ head/day</t>
  </si>
  <si>
    <t>Feed Ration Builder</t>
  </si>
  <si>
    <t>Price per ton, as-is</t>
  </si>
  <si>
    <t>Total tons fed</t>
  </si>
  <si>
    <t>Pasture (Converted to DM tons)</t>
  </si>
  <si>
    <t>Inputs</t>
  </si>
  <si>
    <t>Quantity</t>
  </si>
  <si>
    <t>Units</t>
  </si>
  <si>
    <t>Cull feeder price</t>
  </si>
  <si>
    <t>Buyers commission</t>
  </si>
  <si>
    <t>% APR</t>
  </si>
  <si>
    <t>$ per year</t>
  </si>
  <si>
    <t>Annual commercial fertilizer applied</t>
  </si>
  <si>
    <t>DM tons/acre</t>
  </si>
  <si>
    <t>Feed ration builder</t>
  </si>
  <si>
    <t>Management fees</t>
  </si>
  <si>
    <t>% of sales</t>
  </si>
  <si>
    <t>% of revenue</t>
  </si>
  <si>
    <t>Weigh 1</t>
  </si>
  <si>
    <t>Earliest feeding start date</t>
  </si>
  <si>
    <t>Latest feeding end date</t>
  </si>
  <si>
    <t>Buy weight</t>
  </si>
  <si>
    <t>Date of treatment</t>
  </si>
  <si>
    <t>Animal type</t>
  </si>
  <si>
    <t>Sale group</t>
  </si>
  <si>
    <t>Net profit</t>
  </si>
  <si>
    <t>Net income per head</t>
  </si>
  <si>
    <t>Total net income</t>
  </si>
  <si>
    <t>Date Bought:</t>
  </si>
  <si>
    <t>Treatment #1</t>
  </si>
  <si>
    <t>Treatment #2</t>
  </si>
  <si>
    <t>Tag Number</t>
  </si>
  <si>
    <t xml:space="preserve">In Coming Weight </t>
  </si>
  <si>
    <t>2nd round weight</t>
  </si>
  <si>
    <t>Date</t>
  </si>
  <si>
    <t>Weight</t>
  </si>
  <si>
    <t>Product</t>
  </si>
  <si>
    <t>Developed by:</t>
  </si>
  <si>
    <t>University of Missouri Extension</t>
  </si>
  <si>
    <t>Final weight</t>
  </si>
  <si>
    <t>Heifer</t>
  </si>
  <si>
    <t>Cow</t>
  </si>
  <si>
    <t>Bull</t>
  </si>
  <si>
    <t>Mixed lot</t>
  </si>
  <si>
    <t>Total days on feed</t>
  </si>
  <si>
    <t>Pasture Inputs</t>
  </si>
  <si>
    <t>Net income</t>
  </si>
  <si>
    <t>Lot 1</t>
  </si>
  <si>
    <t>Lot 2</t>
  </si>
  <si>
    <t>Lot 3</t>
  </si>
  <si>
    <t>Lot 4</t>
  </si>
  <si>
    <t>Lot 5</t>
  </si>
  <si>
    <t>Animal purchase weight</t>
  </si>
  <si>
    <t>Purchase price, $ per CWT</t>
  </si>
  <si>
    <t>Budget Summary, per head</t>
  </si>
  <si>
    <t>Initial animal value, $ per head</t>
  </si>
  <si>
    <t>Processing and veterinary</t>
  </si>
  <si>
    <t>Professional and management fees</t>
  </si>
  <si>
    <t>Transportation</t>
  </si>
  <si>
    <t>Total expenses</t>
  </si>
  <si>
    <t>Animal sale weight</t>
  </si>
  <si>
    <t>Animal sale price</t>
  </si>
  <si>
    <t>Sale Revenue</t>
  </si>
  <si>
    <t>Less marketing costs</t>
  </si>
  <si>
    <t>Net revenue</t>
  </si>
  <si>
    <t>Less death and cull losses</t>
  </si>
  <si>
    <t>Financial Summary</t>
  </si>
  <si>
    <t>Cool season grass</t>
  </si>
  <si>
    <t>Warm season grass</t>
  </si>
  <si>
    <t>January</t>
  </si>
  <si>
    <t>February</t>
  </si>
  <si>
    <t>March</t>
  </si>
  <si>
    <t>April</t>
  </si>
  <si>
    <t>June</t>
  </si>
  <si>
    <t>July</t>
  </si>
  <si>
    <t>August</t>
  </si>
  <si>
    <t>September</t>
  </si>
  <si>
    <t>October</t>
  </si>
  <si>
    <t>November</t>
  </si>
  <si>
    <t>December</t>
  </si>
  <si>
    <t>Total (should total 100%)</t>
  </si>
  <si>
    <t>Beef Feeding Profitability Tracker</t>
  </si>
  <si>
    <t xml:space="preserve">Contact Rachel Hopkins, Agriculture Business Specialist at hopkinsrm@umsystem.edu for questions. </t>
  </si>
  <si>
    <t>Yardage Calculator</t>
  </si>
  <si>
    <t>Vaccinations, tags, and implants</t>
  </si>
  <si>
    <t>Rachel Hopkins and Drew Kientzy</t>
  </si>
  <si>
    <t>Number of head</t>
  </si>
  <si>
    <t>Start tag</t>
  </si>
  <si>
    <t>$/Head</t>
  </si>
  <si>
    <t>Cost per dose ($)</t>
  </si>
  <si>
    <t>Number of Applicationsper head</t>
  </si>
  <si>
    <t>Cost of treatment ($ per dose)</t>
  </si>
  <si>
    <t xml:space="preserve">  PTO HP of tractor used on feed mixer</t>
  </si>
  <si>
    <r>
      <t xml:space="preserve">The </t>
    </r>
    <r>
      <rPr>
        <b/>
        <sz val="10"/>
        <color theme="1"/>
        <rFont val="Segoe UI"/>
        <family val="2"/>
      </rPr>
      <t>grey</t>
    </r>
    <r>
      <rPr>
        <sz val="10"/>
        <color theme="1"/>
        <rFont val="Segoe UI"/>
        <family val="2"/>
      </rPr>
      <t xml:space="preserve"> cells are where information is entered. The </t>
    </r>
    <r>
      <rPr>
        <b/>
        <sz val="10"/>
        <color theme="1"/>
        <rFont val="Segoe UI"/>
        <family val="2"/>
      </rPr>
      <t>Feed</t>
    </r>
    <r>
      <rPr>
        <sz val="10"/>
        <color theme="1"/>
        <rFont val="Segoe UI"/>
        <family val="2"/>
      </rPr>
      <t xml:space="preserve"> worksheet is where the different ingredients are listed, the respective prices and what date the ingredient was priced. There are four different pricing dates provided; it is recommended to update the pricing quarterly. Other information such as dry matter and shrink should also be entered. If the cattle will be on pasture, enter the operation's pasture inputs. The </t>
    </r>
    <r>
      <rPr>
        <b/>
        <sz val="10"/>
        <color theme="1"/>
        <rFont val="Segoe UI"/>
        <family val="2"/>
      </rPr>
      <t>Yardage calculator</t>
    </r>
    <r>
      <rPr>
        <sz val="10"/>
        <color theme="1"/>
        <rFont val="Segoe UI"/>
        <family val="2"/>
      </rPr>
      <t xml:space="preserve"> is where the operation's costs related to yardage are entered and calculated. Under 'facilities and equipment' section, customize the equipment, value, salvage value, useful life and repair rate to the operation. Each </t>
    </r>
    <r>
      <rPr>
        <b/>
        <sz val="10"/>
        <color theme="1"/>
        <rFont val="Segoe UI"/>
        <family val="2"/>
      </rPr>
      <t>Lot</t>
    </r>
    <r>
      <rPr>
        <sz val="10"/>
        <color theme="1"/>
        <rFont val="Segoe UI"/>
        <family val="2"/>
      </rPr>
      <t xml:space="preserve"> worksheet has a navigation menu. Use the navigation menu to easily move within each Lot worksheet. For further explanation on using the Lot sheets, review the publication or reference the </t>
    </r>
    <r>
      <rPr>
        <b/>
        <sz val="10"/>
        <color theme="1"/>
        <rFont val="Segoe UI"/>
        <family val="2"/>
      </rPr>
      <t xml:space="preserve">'Example "lot"  </t>
    </r>
    <r>
      <rPr>
        <sz val="10"/>
        <color theme="1"/>
        <rFont val="Segoe UI"/>
        <family val="2"/>
      </rPr>
      <t xml:space="preserve">worksheet. The </t>
    </r>
    <r>
      <rPr>
        <b/>
        <sz val="10"/>
        <color theme="1"/>
        <rFont val="Segoe UI"/>
        <family val="2"/>
      </rPr>
      <t>Printable record sheet</t>
    </r>
    <r>
      <rPr>
        <sz val="10"/>
        <color theme="1"/>
        <rFont val="Segoe UI"/>
        <family val="2"/>
      </rPr>
      <t xml:space="preserve"> is designed to be printed off and used at the working chute to easily record information to be entered on the computer. The </t>
    </r>
    <r>
      <rPr>
        <b/>
        <sz val="10"/>
        <color theme="1"/>
        <rFont val="Segoe UI"/>
        <family val="2"/>
      </rPr>
      <t xml:space="preserve">All lots summary </t>
    </r>
    <r>
      <rPr>
        <sz val="10"/>
        <color theme="1"/>
        <rFont val="Segoe UI"/>
        <family val="2"/>
      </rPr>
      <t xml:space="preserve">worksheet is a summary of the lot worksheets and compares information across each lot. No information will be entered on this sheet; it will automatically populate from the other worksheets.                                                                                                              </t>
    </r>
  </si>
  <si>
    <t xml:space="preserve">This resource is designed to track financial and production performance for on any type of beef feeding operation where animals are sold by weight. Cow-calf or seedstock operations are not supported by this tool.Year-end comparison on feed, financials and budget summaries for the different lots is calculated. Operators can then analyze the metrics to make better informed decisions. </t>
  </si>
  <si>
    <t xml:space="preserve">This worksheet is for informational and management purposes only and the operator assumes all risks associated with its use. The user is responsible for any financial obligations associated with purchased cattle or losses recorded within this tool. </t>
  </si>
  <si>
    <t>New 12/2024</t>
  </si>
  <si>
    <t>Initial weight</t>
  </si>
  <si>
    <t>Yield distributions</t>
  </si>
  <si>
    <t>Permanent utilities</t>
  </si>
  <si>
    <t>Concrete in front of bunks</t>
  </si>
  <si>
    <t>J Bunks on concrete</t>
  </si>
  <si>
    <t>Site preparation/grading</t>
  </si>
  <si>
    <t>Hopper bottom bins</t>
  </si>
  <si>
    <t>Commodity and equipment storage sheds</t>
  </si>
  <si>
    <t xml:space="preserve">Feed mixer </t>
  </si>
  <si>
    <t>Cattle handling equipment</t>
  </si>
  <si>
    <t>Used 70 HP tractor with loader</t>
  </si>
  <si>
    <t>Financial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</si>
</sst>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_);[Red]\(#,##0.0\)"/>
    <numFmt numFmtId="165" formatCode="_-&quot;£&quot;* #,##0_-;\-&quot;£&quot;* #,##0_-;_-&quot;£&quot;* &quot;-&quot;_-;_-@_-"/>
    <numFmt numFmtId="166" formatCode="_-&quot;£&quot;* #,##0.00_-;\-&quot;£&quot;* #,##0.00_-;_-&quot;£&quot;* &quot;-&quot;??_-;_-@_-"/>
    <numFmt numFmtId="167" formatCode="&quot;$&quot;#,##0.00"/>
    <numFmt numFmtId="168" formatCode="&quot;$&quot;#,##0"/>
    <numFmt numFmtId="169" formatCode="0.0%"/>
    <numFmt numFmtId="170" formatCode="#,##0.0000_);[Red]\(#,##0.0000\)"/>
    <numFmt numFmtId="171" formatCode="0.0"/>
    <numFmt numFmtId="172" formatCode="_(* #,##0_);_(* \(#,##0\);_(* &quot;-&quot;??_);_(@_)"/>
  </numFmts>
  <fonts count="54" x14ac:knownFonts="1">
    <font>
      <sz val="11"/>
      <color theme="1"/>
      <name val="Calibri"/>
      <family val="2"/>
      <scheme val="minor"/>
    </font>
    <font>
      <sz val="12"/>
      <name val="Arial"/>
      <family val="2"/>
    </font>
    <font>
      <b/>
      <sz val="12"/>
      <color indexed="12"/>
      <name val="Arial"/>
      <family val="2"/>
    </font>
    <font>
      <sz val="12"/>
      <name val="Arial"/>
      <family val="2"/>
    </font>
    <font>
      <sz val="10"/>
      <name val="Arial"/>
      <family val="2"/>
    </font>
    <font>
      <sz val="10"/>
      <name val="Arial"/>
      <family val="2"/>
    </font>
    <font>
      <sz val="10"/>
      <color indexed="12"/>
      <name val="Arial"/>
      <family val="2"/>
    </font>
    <font>
      <sz val="9"/>
      <color indexed="81"/>
      <name val="Tahoma"/>
      <family val="2"/>
    </font>
    <font>
      <b/>
      <sz val="9"/>
      <color indexed="81"/>
      <name val="Tahoma"/>
      <family val="2"/>
    </font>
    <font>
      <sz val="11"/>
      <color theme="1"/>
      <name val="Calibri"/>
      <family val="2"/>
      <scheme val="minor"/>
    </font>
    <font>
      <u/>
      <sz val="11"/>
      <color theme="10"/>
      <name val="Calibri"/>
      <family val="2"/>
      <scheme val="minor"/>
    </font>
    <font>
      <b/>
      <sz val="11"/>
      <color theme="1"/>
      <name val="Calibri"/>
      <family val="2"/>
      <scheme val="minor"/>
    </font>
    <font>
      <sz val="12"/>
      <name val="Calibri"/>
      <family val="2"/>
      <scheme val="minor"/>
    </font>
    <font>
      <sz val="12"/>
      <color theme="1"/>
      <name val="Calibri"/>
      <family val="2"/>
      <scheme val="minor"/>
    </font>
    <font>
      <sz val="11"/>
      <name val="Calibri"/>
      <family val="2"/>
      <scheme val="minor"/>
    </font>
    <font>
      <b/>
      <sz val="12"/>
      <name val="Calibri"/>
      <family val="2"/>
      <scheme val="minor"/>
    </font>
    <font>
      <b/>
      <sz val="12"/>
      <color theme="1"/>
      <name val="Calibri"/>
      <family val="2"/>
      <scheme val="minor"/>
    </font>
    <font>
      <b/>
      <sz val="14"/>
      <color theme="1"/>
      <name val="Calibri"/>
      <family val="2"/>
      <scheme val="minor"/>
    </font>
    <font>
      <sz val="12"/>
      <color theme="1"/>
      <name val="Arial"/>
      <family val="2"/>
    </font>
    <font>
      <i/>
      <sz val="11"/>
      <color theme="1"/>
      <name val="Calibri"/>
      <family val="2"/>
      <scheme val="minor"/>
    </font>
    <font>
      <b/>
      <sz val="14"/>
      <name val="Calibri"/>
      <family val="2"/>
      <scheme val="minor"/>
    </font>
    <font>
      <sz val="10"/>
      <name val="Calibri"/>
      <family val="2"/>
      <scheme val="minor"/>
    </font>
    <font>
      <sz val="9"/>
      <color theme="1"/>
      <name val="Calibri"/>
      <family val="2"/>
      <scheme val="minor"/>
    </font>
    <font>
      <u/>
      <sz val="11"/>
      <color rgb="FF0070C0"/>
      <name val="Calibri"/>
      <family val="2"/>
      <scheme val="minor"/>
    </font>
    <font>
      <b/>
      <sz val="12"/>
      <color rgb="FFC00000"/>
      <name val="Calibri"/>
      <family val="2"/>
      <scheme val="minor"/>
    </font>
    <font>
      <sz val="8"/>
      <name val="Calibri"/>
      <family val="2"/>
      <scheme val="minor"/>
    </font>
    <font>
      <b/>
      <sz val="14"/>
      <color rgb="FFFFC000"/>
      <name val="Calibri"/>
      <family val="2"/>
      <scheme val="minor"/>
    </font>
    <font>
      <b/>
      <sz val="18"/>
      <color rgb="FFFFC000"/>
      <name val="Calibri"/>
      <family val="2"/>
      <scheme val="minor"/>
    </font>
    <font>
      <b/>
      <u/>
      <sz val="11"/>
      <color theme="1"/>
      <name val="Calibri"/>
      <family val="2"/>
      <scheme val="minor"/>
    </font>
    <font>
      <sz val="10"/>
      <color theme="1"/>
      <name val="Calibri"/>
      <family val="2"/>
      <scheme val="minor"/>
    </font>
    <font>
      <b/>
      <u/>
      <sz val="12"/>
      <color theme="1"/>
      <name val="Calibri"/>
      <family val="2"/>
      <scheme val="minor"/>
    </font>
    <font>
      <u/>
      <sz val="16"/>
      <color rgb="FF0070C0"/>
      <name val="Calibri"/>
      <family val="2"/>
      <scheme val="minor"/>
    </font>
    <font>
      <b/>
      <sz val="11"/>
      <name val="Calibri"/>
      <family val="2"/>
      <scheme val="minor"/>
    </font>
    <font>
      <b/>
      <sz val="10"/>
      <color theme="1"/>
      <name val="Calibri"/>
      <family val="2"/>
      <scheme val="minor"/>
    </font>
    <font>
      <b/>
      <u/>
      <sz val="14"/>
      <name val="Calibri"/>
      <family val="2"/>
      <scheme val="minor"/>
    </font>
    <font>
      <sz val="11"/>
      <color theme="0"/>
      <name val="Calibri"/>
      <family val="2"/>
      <scheme val="minor"/>
    </font>
    <font>
      <b/>
      <sz val="12"/>
      <color rgb="FFFFC000"/>
      <name val="Calibri"/>
      <family val="2"/>
      <scheme val="minor"/>
    </font>
    <font>
      <b/>
      <sz val="16"/>
      <color rgb="FFFFC000"/>
      <name val="Calibri"/>
      <family val="2"/>
      <scheme val="minor"/>
    </font>
    <font>
      <sz val="12"/>
      <color theme="0"/>
      <name val="Calibri"/>
      <family val="2"/>
      <scheme val="minor"/>
    </font>
    <font>
      <sz val="14"/>
      <color rgb="FFFFC000"/>
      <name val="Calibri"/>
      <family val="2"/>
      <scheme val="minor"/>
    </font>
    <font>
      <b/>
      <sz val="22"/>
      <name val="Calibri"/>
      <family val="2"/>
      <scheme val="minor"/>
    </font>
    <font>
      <b/>
      <sz val="20"/>
      <color rgb="FFFFC000"/>
      <name val="Calibri"/>
      <family val="2"/>
      <scheme val="minor"/>
    </font>
    <font>
      <u/>
      <sz val="14"/>
      <color rgb="FF0070C0"/>
      <name val="Calibri"/>
      <family val="2"/>
      <scheme val="minor"/>
    </font>
    <font>
      <b/>
      <sz val="11"/>
      <color rgb="FF3F3F3F"/>
      <name val="Calibri"/>
      <family val="2"/>
      <scheme val="minor"/>
    </font>
    <font>
      <sz val="11"/>
      <color theme="1"/>
      <name val="Segoe UI"/>
      <family val="2"/>
    </font>
    <font>
      <b/>
      <sz val="16"/>
      <color rgb="FFF1B82D"/>
      <name val="Segoe UI"/>
      <family val="2"/>
    </font>
    <font>
      <b/>
      <sz val="11"/>
      <color theme="1"/>
      <name val="Segoe UI"/>
      <family val="2"/>
    </font>
    <font>
      <sz val="10"/>
      <color theme="1"/>
      <name val="Segoe UI"/>
      <family val="2"/>
    </font>
    <font>
      <sz val="12"/>
      <color theme="1"/>
      <name val="Segoe UI"/>
      <family val="2"/>
    </font>
    <font>
      <b/>
      <sz val="11"/>
      <color rgb="FF3F3F3F"/>
      <name val="Segoe UI"/>
      <family val="2"/>
    </font>
    <font>
      <b/>
      <sz val="14"/>
      <color rgb="FFF1B82D"/>
      <name val="Segoe UI"/>
      <family val="2"/>
    </font>
    <font>
      <b/>
      <sz val="18"/>
      <name val="Calibri"/>
      <family val="2"/>
      <scheme val="minor"/>
    </font>
    <font>
      <b/>
      <sz val="10"/>
      <color theme="1"/>
      <name val="Segoe UI"/>
      <family val="2"/>
    </font>
    <font>
      <b/>
      <sz val="11"/>
      <color theme="0"/>
      <name val="Calibri"/>
      <family val="2"/>
      <scheme val="minor"/>
    </font>
  </fonts>
  <fills count="16">
    <fill>
      <patternFill patternType="none"/>
    </fill>
    <fill>
      <patternFill patternType="gray125"/>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58"/>
        <bgColor indexed="64"/>
      </patternFill>
    </fill>
    <fill>
      <patternFill patternType="solid">
        <fgColor theme="0"/>
        <bgColor indexed="64"/>
      </patternFill>
    </fill>
    <fill>
      <patternFill patternType="solid">
        <fgColor theme="1"/>
        <bgColor indexed="64"/>
      </patternFill>
    </fill>
    <fill>
      <patternFill patternType="solid">
        <fgColor theme="7"/>
        <bgColor indexed="64"/>
      </patternFill>
    </fill>
    <fill>
      <patternFill patternType="solid">
        <fgColor theme="7" tint="0.79998168889431442"/>
        <bgColor indexed="65"/>
      </patternFill>
    </fill>
    <fill>
      <patternFill patternType="solid">
        <fgColor theme="8" tint="0.59999389629810485"/>
        <bgColor indexed="65"/>
      </patternFill>
    </fill>
    <fill>
      <patternFill patternType="solid">
        <fgColor theme="8" tint="-0.249977111117893"/>
        <bgColor indexed="64"/>
      </patternFill>
    </fill>
    <fill>
      <patternFill patternType="solid">
        <fgColor theme="0" tint="-0.14999847407452621"/>
        <bgColor indexed="64"/>
      </patternFill>
    </fill>
    <fill>
      <patternFill patternType="solid">
        <fgColor rgb="FFF2F2F2"/>
      </patternFill>
    </fill>
    <fill>
      <patternFill patternType="solid">
        <fgColor rgb="FFDBD5CD"/>
        <bgColor indexed="64"/>
      </patternFill>
    </fill>
    <fill>
      <patternFill patternType="solid">
        <fgColor rgb="FFFFC000"/>
        <bgColor indexed="64"/>
      </patternFill>
    </fill>
  </fills>
  <borders count="58">
    <border>
      <left/>
      <right/>
      <top/>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theme="0"/>
      </left>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thin">
        <color rgb="FF3F3F3F"/>
      </left>
      <right style="thin">
        <color rgb="FF3F3F3F"/>
      </right>
      <top style="thin">
        <color rgb="FF3F3F3F"/>
      </top>
      <bottom style="thin">
        <color rgb="FF3F3F3F"/>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2">
    <xf numFmtId="0" fontId="0" fillId="0" borderId="0"/>
    <xf numFmtId="43" fontId="9" fillId="0" borderId="0" applyFont="0" applyFill="0" applyBorder="0" applyAlignment="0" applyProtection="0"/>
    <xf numFmtId="6" fontId="3" fillId="0" borderId="0"/>
    <xf numFmtId="6" fontId="2" fillId="0" borderId="0">
      <protection locked="0"/>
    </xf>
    <xf numFmtId="8" fontId="3" fillId="0" borderId="0"/>
    <xf numFmtId="8" fontId="2" fillId="0" borderId="0">
      <protection locked="0"/>
    </xf>
    <xf numFmtId="38" fontId="3" fillId="0" borderId="0"/>
    <xf numFmtId="38" fontId="2" fillId="0" borderId="0">
      <protection locked="0"/>
    </xf>
    <xf numFmtId="164" fontId="3" fillId="0" borderId="0"/>
    <xf numFmtId="164" fontId="2" fillId="0" borderId="0">
      <protection locked="0"/>
    </xf>
    <xf numFmtId="40" fontId="3" fillId="0" borderId="0"/>
    <xf numFmtId="40" fontId="2" fillId="0" borderId="0">
      <protection locked="0"/>
    </xf>
    <xf numFmtId="44" fontId="9" fillId="0" borderId="0" applyFont="0" applyFill="0" applyBorder="0" applyAlignment="0" applyProtection="0"/>
    <xf numFmtId="0" fontId="10" fillId="0" borderId="0" applyNumberFormat="0" applyFill="0" applyBorder="0" applyAlignment="0" applyProtection="0"/>
    <xf numFmtId="0" fontId="1" fillId="0" borderId="0">
      <alignment vertical="top"/>
    </xf>
    <xf numFmtId="0" fontId="3" fillId="0" borderId="0"/>
    <xf numFmtId="38" fontId="4" fillId="2" borderId="1"/>
    <xf numFmtId="38" fontId="6" fillId="0" borderId="1">
      <protection locked="0"/>
    </xf>
    <xf numFmtId="164" fontId="4" fillId="3" borderId="1"/>
    <xf numFmtId="164" fontId="6" fillId="0" borderId="1">
      <protection locked="0"/>
    </xf>
    <xf numFmtId="40" fontId="4" fillId="3" borderId="1"/>
    <xf numFmtId="40" fontId="6" fillId="0" borderId="1">
      <protection locked="0"/>
    </xf>
    <xf numFmtId="9" fontId="9" fillId="0" borderId="0" applyFont="0" applyFill="0" applyBorder="0" applyAlignment="0" applyProtection="0"/>
    <xf numFmtId="10" fontId="4" fillId="2" borderId="1"/>
    <xf numFmtId="10" fontId="6" fillId="4" borderId="1">
      <protection locked="0"/>
    </xf>
    <xf numFmtId="0" fontId="5" fillId="5" borderId="0"/>
    <xf numFmtId="165" fontId="5" fillId="0" borderId="0" applyFont="0" applyFill="0" applyBorder="0" applyAlignment="0" applyProtection="0"/>
    <xf numFmtId="166" fontId="5" fillId="0" borderId="0" applyFont="0" applyFill="0" applyBorder="0" applyAlignment="0" applyProtection="0"/>
    <xf numFmtId="0" fontId="9" fillId="9" borderId="0" applyNumberFormat="0" applyBorder="0" applyAlignment="0" applyProtection="0"/>
    <xf numFmtId="0" fontId="9" fillId="10" borderId="0" applyNumberFormat="0" applyBorder="0" applyAlignment="0" applyProtection="0"/>
    <xf numFmtId="0" fontId="43" fillId="13" borderId="43" applyNumberFormat="0" applyAlignment="0" applyProtection="0"/>
    <xf numFmtId="0" fontId="9" fillId="0" borderId="0"/>
  </cellStyleXfs>
  <cellXfs count="644">
    <xf numFmtId="0" fontId="0" fillId="0" borderId="0" xfId="0"/>
    <xf numFmtId="0" fontId="0" fillId="6" borderId="0" xfId="0" applyFill="1"/>
    <xf numFmtId="5" fontId="12" fillId="6" borderId="4" xfId="14" applyNumberFormat="1" applyFont="1" applyFill="1" applyBorder="1" applyAlignment="1"/>
    <xf numFmtId="7" fontId="12" fillId="6" borderId="0" xfId="12" applyNumberFormat="1" applyFont="1" applyFill="1" applyBorder="1" applyAlignment="1" applyProtection="1"/>
    <xf numFmtId="0" fontId="0" fillId="6" borderId="9" xfId="0" applyFill="1" applyBorder="1"/>
    <xf numFmtId="0" fontId="0" fillId="6" borderId="4" xfId="0" applyFill="1" applyBorder="1"/>
    <xf numFmtId="7" fontId="12" fillId="6" borderId="4" xfId="7" applyNumberFormat="1" applyFont="1" applyFill="1" applyBorder="1" applyProtection="1"/>
    <xf numFmtId="7" fontId="12" fillId="6" borderId="4" xfId="12" applyNumberFormat="1" applyFont="1" applyFill="1" applyBorder="1" applyAlignment="1" applyProtection="1"/>
    <xf numFmtId="0" fontId="13" fillId="6" borderId="4" xfId="0" applyFont="1" applyFill="1" applyBorder="1"/>
    <xf numFmtId="0" fontId="0" fillId="0" borderId="0" xfId="0" applyAlignment="1">
      <alignment vertical="center"/>
    </xf>
    <xf numFmtId="0" fontId="18" fillId="0" borderId="0" xfId="0" applyFont="1" applyAlignment="1">
      <alignment vertical="center"/>
    </xf>
    <xf numFmtId="0" fontId="10" fillId="0" borderId="0" xfId="13" applyAlignment="1">
      <alignment vertical="center"/>
    </xf>
    <xf numFmtId="0" fontId="11" fillId="0" borderId="0" xfId="0" applyFont="1" applyAlignment="1">
      <alignment vertical="center"/>
    </xf>
    <xf numFmtId="0" fontId="0" fillId="0" borderId="0" xfId="0" applyAlignment="1">
      <alignment horizontal="left" vertical="center" indent="1"/>
    </xf>
    <xf numFmtId="7" fontId="12" fillId="0" borderId="0" xfId="12" applyNumberFormat="1" applyFont="1" applyFill="1" applyBorder="1" applyProtection="1"/>
    <xf numFmtId="44" fontId="0" fillId="0" borderId="0" xfId="12" applyFont="1" applyBorder="1"/>
    <xf numFmtId="0" fontId="0" fillId="12" borderId="0" xfId="0" applyFill="1"/>
    <xf numFmtId="16" fontId="0" fillId="0" borderId="0" xfId="0" applyNumberFormat="1"/>
    <xf numFmtId="171" fontId="0" fillId="0" borderId="0" xfId="0" applyNumberFormat="1"/>
    <xf numFmtId="9" fontId="0" fillId="0" borderId="0" xfId="22" applyFont="1"/>
    <xf numFmtId="44" fontId="0" fillId="0" borderId="0" xfId="12" applyFont="1"/>
    <xf numFmtId="8" fontId="0" fillId="0" borderId="0" xfId="0" applyNumberFormat="1"/>
    <xf numFmtId="44" fontId="0" fillId="0" borderId="0" xfId="0" applyNumberFormat="1"/>
    <xf numFmtId="9" fontId="0" fillId="12" borderId="3" xfId="22" applyFont="1" applyFill="1" applyBorder="1"/>
    <xf numFmtId="9" fontId="0" fillId="12" borderId="4" xfId="22" applyFont="1" applyFill="1" applyBorder="1"/>
    <xf numFmtId="171" fontId="0" fillId="0" borderId="5" xfId="0" applyNumberFormat="1" applyBorder="1"/>
    <xf numFmtId="44" fontId="0" fillId="0" borderId="5" xfId="12" applyFont="1" applyBorder="1"/>
    <xf numFmtId="9" fontId="0" fillId="12" borderId="5" xfId="22" applyFont="1" applyFill="1" applyBorder="1"/>
    <xf numFmtId="9" fontId="0" fillId="12" borderId="0" xfId="22" applyFont="1" applyFill="1" applyBorder="1"/>
    <xf numFmtId="0" fontId="0" fillId="0" borderId="15" xfId="0" applyBorder="1"/>
    <xf numFmtId="9" fontId="0" fillId="12" borderId="29" xfId="22" applyFont="1" applyFill="1" applyBorder="1"/>
    <xf numFmtId="171" fontId="0" fillId="0" borderId="16" xfId="0" applyNumberFormat="1" applyBorder="1"/>
    <xf numFmtId="44" fontId="0" fillId="0" borderId="16" xfId="12" applyFont="1" applyBorder="1"/>
    <xf numFmtId="9" fontId="0" fillId="12" borderId="16" xfId="22" applyFont="1" applyFill="1" applyBorder="1"/>
    <xf numFmtId="0" fontId="0" fillId="0" borderId="17" xfId="0" applyBorder="1"/>
    <xf numFmtId="44" fontId="0" fillId="0" borderId="19" xfId="12" applyFont="1" applyBorder="1"/>
    <xf numFmtId="44" fontId="0" fillId="0" borderId="18" xfId="12" applyFont="1" applyBorder="1"/>
    <xf numFmtId="44" fontId="0" fillId="0" borderId="20" xfId="12" applyFont="1" applyBorder="1"/>
    <xf numFmtId="0" fontId="11" fillId="0" borderId="30" xfId="0" applyFont="1" applyBorder="1"/>
    <xf numFmtId="0" fontId="11" fillId="0" borderId="27" xfId="0" applyFont="1" applyBorder="1"/>
    <xf numFmtId="0" fontId="11" fillId="0" borderId="28" xfId="0" applyFont="1" applyBorder="1"/>
    <xf numFmtId="44" fontId="0" fillId="0" borderId="21" xfId="12" applyFont="1" applyBorder="1"/>
    <xf numFmtId="44" fontId="0" fillId="0" borderId="22" xfId="12" applyFont="1" applyBorder="1"/>
    <xf numFmtId="44" fontId="0" fillId="0" borderId="23" xfId="12" applyFont="1" applyBorder="1"/>
    <xf numFmtId="0" fontId="11" fillId="0" borderId="17" xfId="0" applyFont="1" applyBorder="1"/>
    <xf numFmtId="43" fontId="0" fillId="0" borderId="0" xfId="0" applyNumberFormat="1"/>
    <xf numFmtId="0" fontId="0" fillId="7" borderId="0" xfId="0" applyFill="1"/>
    <xf numFmtId="43" fontId="0" fillId="12" borderId="0" xfId="0" applyNumberFormat="1" applyFill="1"/>
    <xf numFmtId="0" fontId="0" fillId="6" borderId="18" xfId="0" applyFill="1" applyBorder="1"/>
    <xf numFmtId="0" fontId="35" fillId="0" borderId="0" xfId="0" applyFont="1"/>
    <xf numFmtId="0" fontId="35" fillId="7" borderId="0" xfId="0" applyFont="1" applyFill="1"/>
    <xf numFmtId="5" fontId="12" fillId="6" borderId="0" xfId="14" applyNumberFormat="1" applyFont="1" applyFill="1" applyAlignment="1"/>
    <xf numFmtId="5" fontId="12" fillId="6" borderId="0" xfId="14" applyNumberFormat="1" applyFont="1" applyFill="1" applyAlignment="1">
      <alignment horizontal="center"/>
    </xf>
    <xf numFmtId="5" fontId="12" fillId="6" borderId="9" xfId="14" applyNumberFormat="1" applyFont="1" applyFill="1" applyBorder="1" applyAlignment="1"/>
    <xf numFmtId="5" fontId="15" fillId="11" borderId="32" xfId="14" applyNumberFormat="1" applyFont="1" applyFill="1" applyBorder="1" applyAlignment="1">
      <alignment horizontal="center" vertical="center" wrapText="1"/>
    </xf>
    <xf numFmtId="5" fontId="12" fillId="6" borderId="13" xfId="14" applyNumberFormat="1" applyFont="1" applyFill="1" applyBorder="1" applyAlignment="1"/>
    <xf numFmtId="0" fontId="17" fillId="0" borderId="9" xfId="0" applyFont="1" applyBorder="1" applyAlignment="1">
      <alignment horizontal="center"/>
    </xf>
    <xf numFmtId="5" fontId="12" fillId="0" borderId="15" xfId="14" applyNumberFormat="1" applyFont="1" applyBorder="1" applyAlignment="1">
      <alignment horizontal="left"/>
    </xf>
    <xf numFmtId="170" fontId="12" fillId="0" borderId="15" xfId="6" applyNumberFormat="1" applyFont="1" applyBorder="1" applyAlignment="1">
      <alignment horizontal="left"/>
    </xf>
    <xf numFmtId="5" fontId="12" fillId="0" borderId="17" xfId="14" applyNumberFormat="1" applyFont="1" applyBorder="1" applyAlignment="1">
      <alignment horizontal="left"/>
    </xf>
    <xf numFmtId="0" fontId="17" fillId="0" borderId="13" xfId="0" applyFont="1" applyBorder="1" applyAlignment="1">
      <alignment horizontal="center"/>
    </xf>
    <xf numFmtId="0" fontId="17" fillId="0" borderId="14" xfId="0" applyFont="1" applyBorder="1" applyAlignment="1">
      <alignment horizontal="center"/>
    </xf>
    <xf numFmtId="0" fontId="0" fillId="0" borderId="15" xfId="0" applyBorder="1" applyAlignment="1">
      <alignment horizontal="left"/>
    </xf>
    <xf numFmtId="0" fontId="0" fillId="0" borderId="16" xfId="0" applyBorder="1" applyAlignment="1">
      <alignment horizontal="left"/>
    </xf>
    <xf numFmtId="5" fontId="39" fillId="7" borderId="4" xfId="14" applyNumberFormat="1" applyFont="1" applyFill="1" applyBorder="1" applyAlignment="1"/>
    <xf numFmtId="5" fontId="39" fillId="7" borderId="9" xfId="14" applyNumberFormat="1" applyFont="1" applyFill="1" applyBorder="1" applyAlignment="1"/>
    <xf numFmtId="0" fontId="26" fillId="7" borderId="2" xfId="0" applyFont="1" applyFill="1" applyBorder="1"/>
    <xf numFmtId="10" fontId="36" fillId="7" borderId="2" xfId="7" applyNumberFormat="1" applyFont="1" applyFill="1" applyBorder="1" applyAlignment="1" applyProtection="1">
      <alignment horizontal="right"/>
    </xf>
    <xf numFmtId="5" fontId="36" fillId="7" borderId="2" xfId="14" applyNumberFormat="1" applyFont="1" applyFill="1" applyBorder="1" applyAlignment="1">
      <alignment horizontal="right"/>
    </xf>
    <xf numFmtId="0" fontId="12" fillId="6" borderId="37" xfId="0" applyFont="1" applyFill="1" applyBorder="1"/>
    <xf numFmtId="0" fontId="12" fillId="6" borderId="15" xfId="0" applyFont="1" applyFill="1" applyBorder="1"/>
    <xf numFmtId="0" fontId="13" fillId="6" borderId="0" xfId="0" applyFont="1" applyFill="1"/>
    <xf numFmtId="171" fontId="13" fillId="6" borderId="0" xfId="0" applyNumberFormat="1" applyFont="1" applyFill="1" applyAlignment="1">
      <alignment horizontal="center"/>
    </xf>
    <xf numFmtId="0" fontId="13" fillId="6" borderId="16" xfId="0" applyFont="1" applyFill="1" applyBorder="1"/>
    <xf numFmtId="0" fontId="13" fillId="6" borderId="0" xfId="0" applyFont="1" applyFill="1" applyAlignment="1">
      <alignment horizontal="center"/>
    </xf>
    <xf numFmtId="0" fontId="13" fillId="6" borderId="16" xfId="0" applyFont="1" applyFill="1" applyBorder="1" applyAlignment="1">
      <alignment horizontal="center"/>
    </xf>
    <xf numFmtId="5" fontId="12" fillId="6" borderId="15" xfId="14" applyNumberFormat="1" applyFont="1" applyFill="1" applyBorder="1" applyAlignment="1"/>
    <xf numFmtId="0" fontId="0" fillId="6" borderId="0" xfId="0" applyFill="1" applyAlignment="1">
      <alignment horizontal="left"/>
    </xf>
    <xf numFmtId="6" fontId="13" fillId="6" borderId="29" xfId="0" applyNumberFormat="1" applyFont="1" applyFill="1" applyBorder="1"/>
    <xf numFmtId="6" fontId="13" fillId="6" borderId="16" xfId="0" applyNumberFormat="1" applyFont="1" applyFill="1" applyBorder="1"/>
    <xf numFmtId="5" fontId="15" fillId="6" borderId="15" xfId="14" applyNumberFormat="1" applyFont="1" applyFill="1" applyBorder="1" applyAlignment="1">
      <alignment horizontal="right"/>
    </xf>
    <xf numFmtId="6" fontId="12" fillId="6" borderId="0" xfId="2" applyFont="1" applyFill="1"/>
    <xf numFmtId="5" fontId="12" fillId="6" borderId="16" xfId="14" applyNumberFormat="1" applyFont="1" applyFill="1" applyBorder="1" applyAlignment="1"/>
    <xf numFmtId="5" fontId="14" fillId="6" borderId="0" xfId="14" applyNumberFormat="1" applyFont="1" applyFill="1" applyAlignment="1"/>
    <xf numFmtId="38" fontId="14" fillId="6" borderId="0" xfId="7" applyFont="1" applyFill="1" applyProtection="1"/>
    <xf numFmtId="5" fontId="26" fillId="7" borderId="34" xfId="14" applyNumberFormat="1" applyFont="1" applyFill="1" applyBorder="1" applyAlignment="1">
      <alignment horizontal="left"/>
    </xf>
    <xf numFmtId="5" fontId="12" fillId="6" borderId="37" xfId="14" applyNumberFormat="1" applyFont="1" applyFill="1" applyBorder="1" applyAlignment="1"/>
    <xf numFmtId="168" fontId="12" fillId="6" borderId="0" xfId="7" applyNumberFormat="1" applyFont="1" applyFill="1" applyProtection="1"/>
    <xf numFmtId="7" fontId="12" fillId="6" borderId="0" xfId="7" applyNumberFormat="1" applyFont="1" applyFill="1" applyProtection="1"/>
    <xf numFmtId="5" fontId="15" fillId="6" borderId="17" xfId="14" applyNumberFormat="1" applyFont="1" applyFill="1" applyBorder="1" applyAlignment="1">
      <alignment horizontal="right"/>
    </xf>
    <xf numFmtId="5" fontId="15" fillId="6" borderId="18" xfId="14" applyNumberFormat="1" applyFont="1" applyFill="1" applyBorder="1" applyAlignment="1">
      <alignment horizontal="right"/>
    </xf>
    <xf numFmtId="7" fontId="15" fillId="6" borderId="18" xfId="7" applyNumberFormat="1" applyFont="1" applyFill="1" applyBorder="1" applyProtection="1"/>
    <xf numFmtId="7" fontId="15" fillId="6" borderId="18" xfId="12" applyNumberFormat="1" applyFont="1" applyFill="1" applyBorder="1" applyAlignment="1" applyProtection="1"/>
    <xf numFmtId="6" fontId="13" fillId="6" borderId="14" xfId="0" applyNumberFormat="1" applyFont="1" applyFill="1" applyBorder="1"/>
    <xf numFmtId="5" fontId="15" fillId="6" borderId="34" xfId="14" applyNumberFormat="1" applyFont="1" applyFill="1" applyBorder="1" applyAlignment="1">
      <alignment horizontal="right"/>
    </xf>
    <xf numFmtId="5" fontId="12" fillId="6" borderId="2" xfId="14" applyNumberFormat="1" applyFont="1" applyFill="1" applyBorder="1" applyAlignment="1"/>
    <xf numFmtId="6" fontId="12" fillId="6" borderId="2" xfId="2" applyFont="1" applyFill="1" applyBorder="1"/>
    <xf numFmtId="5" fontId="12" fillId="6" borderId="35" xfId="14" applyNumberFormat="1" applyFont="1" applyFill="1" applyBorder="1" applyAlignment="1"/>
    <xf numFmtId="168" fontId="12" fillId="6" borderId="9" xfId="7" applyNumberFormat="1" applyFont="1" applyFill="1" applyBorder="1" applyProtection="1"/>
    <xf numFmtId="7" fontId="12" fillId="6" borderId="9" xfId="7" applyNumberFormat="1" applyFont="1" applyFill="1" applyBorder="1" applyProtection="1"/>
    <xf numFmtId="7" fontId="12" fillId="6" borderId="9" xfId="12" applyNumberFormat="1" applyFont="1" applyFill="1" applyBorder="1" applyAlignment="1" applyProtection="1"/>
    <xf numFmtId="170" fontId="15" fillId="0" borderId="30" xfId="6" applyNumberFormat="1" applyFont="1" applyBorder="1" applyAlignment="1">
      <alignment horizontal="right"/>
    </xf>
    <xf numFmtId="5" fontId="15" fillId="0" borderId="41" xfId="14" applyNumberFormat="1" applyFont="1" applyBorder="1" applyAlignment="1">
      <alignment horizontal="center" vertical="center" wrapText="1"/>
    </xf>
    <xf numFmtId="5" fontId="15" fillId="0" borderId="42" xfId="14" applyNumberFormat="1" applyFont="1" applyBorder="1" applyAlignment="1">
      <alignment horizontal="center"/>
    </xf>
    <xf numFmtId="0" fontId="0" fillId="0" borderId="0" xfId="0" applyAlignment="1">
      <alignment wrapText="1"/>
    </xf>
    <xf numFmtId="0" fontId="11" fillId="0" borderId="38" xfId="0" applyFont="1" applyBorder="1" applyAlignment="1">
      <alignment horizontal="center" wrapText="1"/>
    </xf>
    <xf numFmtId="0" fontId="11" fillId="0" borderId="44" xfId="0" applyFont="1" applyBorder="1" applyAlignment="1">
      <alignment horizontal="center" wrapText="1"/>
    </xf>
    <xf numFmtId="0" fontId="11" fillId="0" borderId="39" xfId="0" applyFont="1" applyBorder="1" applyAlignment="1">
      <alignment horizontal="center" wrapText="1"/>
    </xf>
    <xf numFmtId="0" fontId="0" fillId="0" borderId="45" xfId="0" applyBorder="1"/>
    <xf numFmtId="0" fontId="0" fillId="0" borderId="7" xfId="0" applyBorder="1"/>
    <xf numFmtId="0" fontId="0" fillId="0" borderId="46" xfId="0" applyBorder="1"/>
    <xf numFmtId="0" fontId="0" fillId="0" borderId="47" xfId="0" applyBorder="1"/>
    <xf numFmtId="0" fontId="0" fillId="0" borderId="48" xfId="0" applyBorder="1"/>
    <xf numFmtId="0" fontId="0" fillId="0" borderId="49" xfId="0" applyBorder="1"/>
    <xf numFmtId="0" fontId="0" fillId="0" borderId="8" xfId="0" applyBorder="1"/>
    <xf numFmtId="0" fontId="0" fillId="0" borderId="50" xfId="0" applyBorder="1"/>
    <xf numFmtId="0" fontId="0" fillId="0" borderId="51" xfId="0" applyBorder="1"/>
    <xf numFmtId="0" fontId="0" fillId="0" borderId="52" xfId="0" applyBorder="1"/>
    <xf numFmtId="0" fontId="0" fillId="0" borderId="3" xfId="0" applyBorder="1"/>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0" fontId="44" fillId="0" borderId="0" xfId="31" applyFont="1"/>
    <xf numFmtId="0" fontId="46" fillId="0" borderId="0" xfId="31" applyFont="1"/>
    <xf numFmtId="0" fontId="46" fillId="0" borderId="0" xfId="31" applyFont="1" applyAlignment="1">
      <alignment horizontal="left" indent="4"/>
    </xf>
    <xf numFmtId="0" fontId="48" fillId="0" borderId="0" xfId="31" applyFont="1" applyAlignment="1">
      <alignment vertical="top" wrapText="1"/>
    </xf>
    <xf numFmtId="0" fontId="48" fillId="0" borderId="0" xfId="31" applyFont="1" applyAlignment="1">
      <alignment horizontal="left" vertical="top" wrapText="1"/>
    </xf>
    <xf numFmtId="0" fontId="49" fillId="6" borderId="0" xfId="30" applyFont="1" applyFill="1" applyBorder="1" applyAlignment="1"/>
    <xf numFmtId="0" fontId="0" fillId="0" borderId="17" xfId="0" applyBorder="1" applyAlignment="1">
      <alignment horizontal="left"/>
    </xf>
    <xf numFmtId="0" fontId="0" fillId="0" borderId="20" xfId="0" applyBorder="1" applyAlignment="1">
      <alignment horizontal="left"/>
    </xf>
    <xf numFmtId="43" fontId="12" fillId="7" borderId="0" xfId="1" applyFont="1" applyFill="1" applyBorder="1" applyAlignment="1" applyProtection="1">
      <protection locked="0"/>
    </xf>
    <xf numFmtId="5" fontId="36" fillId="7" borderId="22" xfId="14" applyNumberFormat="1" applyFont="1" applyFill="1" applyBorder="1" applyAlignment="1">
      <alignment horizontal="center" vertical="center" wrapText="1"/>
    </xf>
    <xf numFmtId="5" fontId="36" fillId="7" borderId="23" xfId="14" applyNumberFormat="1" applyFont="1" applyFill="1" applyBorder="1" applyAlignment="1">
      <alignment horizontal="center" wrapText="1"/>
    </xf>
    <xf numFmtId="5" fontId="26" fillId="7" borderId="21" xfId="14" applyNumberFormat="1" applyFont="1" applyFill="1" applyBorder="1" applyAlignment="1"/>
    <xf numFmtId="0" fontId="51" fillId="0" borderId="13" xfId="0" applyFont="1" applyBorder="1" applyAlignment="1">
      <alignment horizontal="center" vertical="top"/>
    </xf>
    <xf numFmtId="0" fontId="20" fillId="0" borderId="9" xfId="0" applyFont="1" applyBorder="1" applyAlignment="1">
      <alignment horizontal="center"/>
    </xf>
    <xf numFmtId="0" fontId="20" fillId="0" borderId="14" xfId="0" applyFont="1" applyBorder="1" applyAlignment="1">
      <alignment horizontal="center"/>
    </xf>
    <xf numFmtId="170" fontId="12" fillId="0" borderId="13" xfId="6" applyNumberFormat="1" applyFont="1" applyBorder="1" applyAlignment="1">
      <alignment horizontal="left"/>
    </xf>
    <xf numFmtId="170" fontId="15" fillId="0" borderId="34" xfId="6" applyNumberFormat="1" applyFont="1" applyBorder="1" applyAlignment="1">
      <alignment horizontal="right"/>
    </xf>
    <xf numFmtId="5" fontId="15" fillId="0" borderId="17" xfId="14" applyNumberFormat="1" applyFont="1" applyBorder="1" applyAlignment="1">
      <alignment horizontal="right"/>
    </xf>
    <xf numFmtId="5" fontId="12" fillId="0" borderId="13" xfId="14" applyNumberFormat="1" applyFont="1" applyBorder="1" applyAlignment="1">
      <alignment horizontal="left"/>
    </xf>
    <xf numFmtId="43" fontId="12" fillId="0" borderId="0" xfId="1" applyFont="1" applyAlignment="1">
      <alignment horizontal="right"/>
    </xf>
    <xf numFmtId="43" fontId="12" fillId="0" borderId="16" xfId="1" applyFont="1" applyBorder="1" applyAlignment="1">
      <alignment horizontal="right"/>
    </xf>
    <xf numFmtId="43" fontId="12" fillId="0" borderId="18" xfId="1" applyFont="1" applyBorder="1" applyAlignment="1">
      <alignment horizontal="right"/>
    </xf>
    <xf numFmtId="43" fontId="12" fillId="0" borderId="20" xfId="1" applyFont="1" applyBorder="1" applyAlignment="1">
      <alignment horizontal="right"/>
    </xf>
    <xf numFmtId="43" fontId="12" fillId="0" borderId="0" xfId="14" applyNumberFormat="1" applyFont="1" applyAlignment="1">
      <alignment horizontal="right"/>
    </xf>
    <xf numFmtId="43" fontId="12" fillId="0" borderId="16" xfId="14" applyNumberFormat="1" applyFont="1" applyBorder="1" applyAlignment="1">
      <alignment horizontal="right"/>
    </xf>
    <xf numFmtId="43" fontId="12" fillId="0" borderId="18" xfId="14" applyNumberFormat="1" applyFont="1" applyBorder="1" applyAlignment="1">
      <alignment horizontal="right"/>
    </xf>
    <xf numFmtId="43" fontId="12" fillId="0" borderId="20" xfId="14" applyNumberFormat="1" applyFont="1" applyBorder="1" applyAlignment="1">
      <alignment horizontal="right"/>
    </xf>
    <xf numFmtId="43" fontId="12" fillId="0" borderId="9" xfId="14" applyNumberFormat="1" applyFont="1" applyBorder="1" applyAlignment="1">
      <alignment horizontal="right"/>
    </xf>
    <xf numFmtId="43" fontId="12" fillId="0" borderId="14" xfId="14" applyNumberFormat="1" applyFont="1" applyBorder="1" applyAlignment="1">
      <alignment horizontal="right"/>
    </xf>
    <xf numFmtId="43" fontId="15" fillId="0" borderId="2" xfId="14" applyNumberFormat="1" applyFont="1" applyBorder="1" applyAlignment="1">
      <alignment horizontal="right"/>
    </xf>
    <xf numFmtId="43" fontId="15" fillId="0" borderId="35" xfId="14" applyNumberFormat="1" applyFont="1" applyBorder="1" applyAlignment="1">
      <alignment horizontal="right"/>
    </xf>
    <xf numFmtId="5" fontId="37" fillId="7" borderId="22" xfId="14" applyNumberFormat="1" applyFont="1" applyFill="1" applyBorder="1" applyAlignment="1">
      <alignment wrapText="1"/>
    </xf>
    <xf numFmtId="5" fontId="37" fillId="7" borderId="23" xfId="14" applyNumberFormat="1" applyFont="1" applyFill="1" applyBorder="1" applyAlignment="1">
      <alignment wrapText="1"/>
    </xf>
    <xf numFmtId="0" fontId="17" fillId="0" borderId="30" xfId="0" applyFont="1" applyBorder="1" applyAlignment="1">
      <alignment horizontal="center"/>
    </xf>
    <xf numFmtId="0" fontId="17" fillId="0" borderId="32" xfId="0" applyFont="1" applyBorder="1" applyAlignment="1">
      <alignment horizontal="center"/>
    </xf>
    <xf numFmtId="0" fontId="17" fillId="0" borderId="33" xfId="0" applyFont="1" applyBorder="1" applyAlignment="1">
      <alignment horizontal="center"/>
    </xf>
    <xf numFmtId="0" fontId="0" fillId="0" borderId="13" xfId="0" applyBorder="1" applyAlignment="1">
      <alignment horizontal="left"/>
    </xf>
    <xf numFmtId="9" fontId="11" fillId="0" borderId="18" xfId="0" applyNumberFormat="1" applyFont="1" applyBorder="1"/>
    <xf numFmtId="9" fontId="11" fillId="0" borderId="20" xfId="22" applyFont="1" applyFill="1" applyBorder="1"/>
    <xf numFmtId="0" fontId="11" fillId="11" borderId="13" xfId="28" applyFont="1" applyFill="1" applyBorder="1" applyAlignment="1">
      <alignment horizontal="center" vertical="center" wrapText="1"/>
    </xf>
    <xf numFmtId="0" fontId="17" fillId="7" borderId="0" xfId="0" applyFont="1" applyFill="1" applyAlignment="1">
      <alignment horizontal="center" vertical="center" wrapText="1"/>
    </xf>
    <xf numFmtId="0" fontId="17" fillId="0" borderId="0" xfId="0" applyFont="1" applyAlignment="1">
      <alignment horizontal="center" vertical="center" wrapText="1"/>
    </xf>
    <xf numFmtId="0" fontId="0" fillId="0" borderId="0" xfId="0" applyAlignment="1">
      <alignment vertical="center" wrapText="1"/>
    </xf>
    <xf numFmtId="44" fontId="11" fillId="11" borderId="9" xfId="28" applyNumberFormat="1" applyFont="1" applyFill="1" applyBorder="1" applyAlignment="1">
      <alignment horizontal="center" vertical="center" wrapText="1"/>
    </xf>
    <xf numFmtId="44" fontId="11" fillId="11" borderId="7" xfId="29" applyNumberFormat="1" applyFont="1" applyFill="1" applyBorder="1" applyAlignment="1">
      <alignment horizontal="center" vertical="center" wrapText="1"/>
    </xf>
    <xf numFmtId="44" fontId="11" fillId="11" borderId="9" xfId="29" applyNumberFormat="1" applyFont="1" applyFill="1" applyBorder="1" applyAlignment="1">
      <alignment horizontal="center" vertical="center" wrapText="1"/>
    </xf>
    <xf numFmtId="0" fontId="11" fillId="11" borderId="9" xfId="29" applyFont="1" applyFill="1" applyBorder="1" applyAlignment="1">
      <alignment horizontal="center" vertical="center" wrapText="1"/>
    </xf>
    <xf numFmtId="0" fontId="11" fillId="11" borderId="14" xfId="29" applyFont="1" applyFill="1" applyBorder="1" applyAlignment="1">
      <alignment horizontal="center" vertical="center" wrapText="1"/>
    </xf>
    <xf numFmtId="14" fontId="0" fillId="6" borderId="25" xfId="0" applyNumberFormat="1" applyFill="1" applyBorder="1" applyAlignment="1">
      <alignment horizontal="center" vertical="center" wrapText="1"/>
    </xf>
    <xf numFmtId="0" fontId="35" fillId="7" borderId="0" xfId="0" applyFont="1" applyFill="1" applyAlignment="1">
      <alignment vertical="center" wrapText="1"/>
    </xf>
    <xf numFmtId="0" fontId="32" fillId="0" borderId="0" xfId="0" applyFont="1" applyAlignment="1">
      <alignment vertical="center" wrapText="1"/>
    </xf>
    <xf numFmtId="14" fontId="14" fillId="0" borderId="0" xfId="0" applyNumberFormat="1" applyFont="1" applyAlignment="1">
      <alignment vertical="center" wrapText="1"/>
    </xf>
    <xf numFmtId="14" fontId="32" fillId="0" borderId="0" xfId="0" applyNumberFormat="1" applyFont="1" applyAlignment="1">
      <alignment vertical="center" wrapText="1"/>
    </xf>
    <xf numFmtId="14" fontId="0" fillId="0" borderId="0" xfId="0" applyNumberFormat="1" applyAlignment="1">
      <alignment vertical="center" wrapText="1"/>
    </xf>
    <xf numFmtId="0" fontId="31" fillId="7" borderId="0" xfId="13" applyFont="1" applyFill="1" applyAlignment="1">
      <alignment vertical="center" wrapText="1"/>
    </xf>
    <xf numFmtId="0" fontId="31" fillId="0" borderId="0" xfId="13" applyFont="1" applyAlignment="1">
      <alignment vertical="center" wrapText="1"/>
    </xf>
    <xf numFmtId="0" fontId="32" fillId="0" borderId="8" xfId="0" applyFont="1" applyBorder="1" applyAlignment="1">
      <alignment vertical="center" wrapText="1"/>
    </xf>
    <xf numFmtId="0" fontId="32" fillId="0" borderId="2" xfId="0" applyFont="1" applyBorder="1" applyAlignment="1">
      <alignment vertical="center" wrapText="1"/>
    </xf>
    <xf numFmtId="0" fontId="32" fillId="0" borderId="12" xfId="0" applyFont="1" applyBorder="1" applyAlignment="1">
      <alignment vertical="center" wrapText="1"/>
    </xf>
    <xf numFmtId="0" fontId="0" fillId="7" borderId="0" xfId="0" applyFill="1" applyAlignment="1">
      <alignment vertical="center" wrapText="1"/>
    </xf>
    <xf numFmtId="0" fontId="11" fillId="11" borderId="13" xfId="0" applyFont="1" applyFill="1" applyBorder="1" applyAlignment="1">
      <alignment vertical="center" wrapText="1"/>
    </xf>
    <xf numFmtId="0" fontId="11" fillId="11" borderId="9" xfId="0" applyFont="1" applyFill="1" applyBorder="1" applyAlignment="1">
      <alignment vertical="center" wrapText="1"/>
    </xf>
    <xf numFmtId="0" fontId="11" fillId="11" borderId="14" xfId="0" applyFont="1" applyFill="1" applyBorder="1" applyAlignment="1">
      <alignment vertical="center" wrapText="1"/>
    </xf>
    <xf numFmtId="44" fontId="11" fillId="11" borderId="14" xfId="28" applyNumberFormat="1" applyFont="1" applyFill="1" applyBorder="1" applyAlignment="1">
      <alignment horizontal="center" vertical="center" wrapText="1"/>
    </xf>
    <xf numFmtId="0" fontId="32" fillId="11" borderId="13" xfId="0" applyFont="1" applyFill="1" applyBorder="1" applyAlignment="1">
      <alignment horizontal="left" vertical="center" wrapText="1"/>
    </xf>
    <xf numFmtId="0" fontId="32" fillId="11" borderId="35" xfId="0" applyFont="1" applyFill="1" applyBorder="1" applyAlignment="1">
      <alignment horizontal="center" vertical="center" wrapText="1"/>
    </xf>
    <xf numFmtId="0" fontId="11" fillId="11" borderId="9" xfId="0" applyFont="1" applyFill="1" applyBorder="1" applyAlignment="1">
      <alignment horizontal="center" vertical="center" wrapText="1"/>
    </xf>
    <xf numFmtId="14" fontId="12" fillId="14" borderId="41" xfId="14" applyNumberFormat="1" applyFont="1" applyFill="1" applyBorder="1" applyAlignment="1">
      <alignment horizontal="center" vertical="center" wrapText="1"/>
    </xf>
    <xf numFmtId="14" fontId="12" fillId="14" borderId="41" xfId="5" applyNumberFormat="1" applyFont="1" applyFill="1" applyBorder="1">
      <protection locked="0"/>
    </xf>
    <xf numFmtId="5" fontId="12" fillId="14" borderId="15" xfId="14" applyNumberFormat="1" applyFont="1" applyFill="1" applyBorder="1" applyAlignment="1"/>
    <xf numFmtId="167" fontId="12" fillId="14" borderId="0" xfId="12" applyNumberFormat="1" applyFont="1" applyFill="1" applyProtection="1">
      <protection locked="0"/>
    </xf>
    <xf numFmtId="9" fontId="12" fillId="14" borderId="0" xfId="22" applyFont="1" applyFill="1" applyBorder="1" applyAlignment="1"/>
    <xf numFmtId="9" fontId="12" fillId="14" borderId="16" xfId="22" applyFont="1" applyFill="1" applyBorder="1" applyAlignment="1">
      <alignment horizontal="center"/>
    </xf>
    <xf numFmtId="5" fontId="12" fillId="14" borderId="17" xfId="14" applyNumberFormat="1" applyFont="1" applyFill="1" applyBorder="1" applyAlignment="1"/>
    <xf numFmtId="167" fontId="12" fillId="14" borderId="18" xfId="12" applyNumberFormat="1" applyFont="1" applyFill="1" applyBorder="1" applyProtection="1">
      <protection locked="0"/>
    </xf>
    <xf numFmtId="9" fontId="12" fillId="14" borderId="18" xfId="22" applyFont="1" applyFill="1" applyBorder="1" applyAlignment="1"/>
    <xf numFmtId="9" fontId="12" fillId="14" borderId="20" xfId="22" applyFont="1" applyFill="1" applyBorder="1" applyAlignment="1">
      <alignment horizontal="center"/>
    </xf>
    <xf numFmtId="43" fontId="14" fillId="14" borderId="0" xfId="1" applyFont="1" applyFill="1" applyBorder="1" applyAlignment="1">
      <alignment horizontal="right"/>
    </xf>
    <xf numFmtId="167" fontId="14" fillId="14" borderId="0" xfId="12" applyNumberFormat="1" applyFont="1" applyFill="1" applyBorder="1" applyAlignment="1">
      <alignment horizontal="right"/>
    </xf>
    <xf numFmtId="0" fontId="0" fillId="14" borderId="0" xfId="0" applyFill="1" applyAlignment="1">
      <alignment horizontal="right"/>
    </xf>
    <xf numFmtId="167" fontId="14" fillId="14" borderId="18" xfId="12" applyNumberFormat="1" applyFont="1" applyFill="1" applyBorder="1" applyAlignment="1">
      <alignment horizontal="right"/>
    </xf>
    <xf numFmtId="9" fontId="0" fillId="14" borderId="0" xfId="22" applyFont="1" applyFill="1" applyBorder="1"/>
    <xf numFmtId="9" fontId="0" fillId="14" borderId="16" xfId="22" applyFont="1" applyFill="1" applyBorder="1"/>
    <xf numFmtId="9" fontId="0" fillId="14" borderId="9" xfId="22" applyFont="1" applyFill="1" applyBorder="1"/>
    <xf numFmtId="9" fontId="0" fillId="14" borderId="14" xfId="22" applyFont="1" applyFill="1" applyBorder="1"/>
    <xf numFmtId="0" fontId="17" fillId="7" borderId="0" xfId="0" applyFont="1" applyFill="1" applyAlignment="1">
      <alignment horizontal="center" vertical="center"/>
    </xf>
    <xf numFmtId="0" fontId="17" fillId="0" borderId="0" xfId="0" applyFont="1" applyAlignment="1">
      <alignment horizontal="center" vertical="center"/>
    </xf>
    <xf numFmtId="0" fontId="27" fillId="7" borderId="0" xfId="0" applyFont="1" applyFill="1" applyAlignment="1">
      <alignment horizontal="center" vertical="center"/>
    </xf>
    <xf numFmtId="0" fontId="31" fillId="0" borderId="0" xfId="13" applyFont="1" applyAlignment="1">
      <alignment horizontal="center" vertical="center"/>
    </xf>
    <xf numFmtId="0" fontId="35" fillId="7" borderId="0" xfId="0" applyFont="1" applyFill="1" applyAlignment="1">
      <alignment vertical="center"/>
    </xf>
    <xf numFmtId="0" fontId="31" fillId="7" borderId="0" xfId="13" applyFont="1" applyFill="1" applyAlignment="1">
      <alignment vertical="center"/>
    </xf>
    <xf numFmtId="0" fontId="31" fillId="0" borderId="0" xfId="13" applyFont="1" applyAlignment="1">
      <alignment vertical="center"/>
    </xf>
    <xf numFmtId="0" fontId="0" fillId="7" borderId="0" xfId="0" applyFill="1" applyAlignment="1">
      <alignment vertical="center"/>
    </xf>
    <xf numFmtId="0" fontId="42" fillId="6" borderId="5" xfId="13" applyFont="1" applyFill="1" applyBorder="1" applyAlignment="1">
      <alignment horizontal="center" vertical="center"/>
    </xf>
    <xf numFmtId="0" fontId="42" fillId="6" borderId="0" xfId="13" applyFont="1" applyFill="1" applyBorder="1" applyAlignment="1">
      <alignment horizontal="center" vertical="center"/>
    </xf>
    <xf numFmtId="0" fontId="42" fillId="6" borderId="6" xfId="13" applyFont="1" applyFill="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1" fillId="9" borderId="15" xfId="28" applyFont="1" applyBorder="1" applyAlignment="1">
      <alignment horizontal="center" vertical="center"/>
    </xf>
    <xf numFmtId="44" fontId="11" fillId="9" borderId="0" xfId="28" applyNumberFormat="1" applyFont="1" applyBorder="1" applyAlignment="1">
      <alignment horizontal="center" vertical="center"/>
    </xf>
    <xf numFmtId="44" fontId="11" fillId="10" borderId="5" xfId="29" applyNumberFormat="1" applyFont="1" applyBorder="1" applyAlignment="1">
      <alignment horizontal="center" vertical="center"/>
    </xf>
    <xf numFmtId="44" fontId="11" fillId="10" borderId="0" xfId="29" applyNumberFormat="1" applyFont="1" applyBorder="1" applyAlignment="1">
      <alignment horizontal="center" vertical="center"/>
    </xf>
    <xf numFmtId="0" fontId="11" fillId="10" borderId="0" xfId="29" applyFont="1" applyBorder="1" applyAlignment="1">
      <alignment horizontal="center" vertical="center"/>
    </xf>
    <xf numFmtId="0" fontId="11" fillId="10" borderId="16" xfId="29" applyFont="1" applyBorder="1" applyAlignment="1">
      <alignment horizontal="center" vertical="center"/>
    </xf>
    <xf numFmtId="0" fontId="0" fillId="6" borderId="15" xfId="0" applyFill="1" applyBorder="1" applyAlignment="1">
      <alignment vertical="center"/>
    </xf>
    <xf numFmtId="0" fontId="0" fillId="6" borderId="0" xfId="0" applyFill="1" applyAlignment="1">
      <alignment vertical="center"/>
    </xf>
    <xf numFmtId="43" fontId="0" fillId="6" borderId="5" xfId="1" applyFont="1" applyFill="1" applyBorder="1" applyAlignment="1">
      <alignment horizontal="center" vertical="center"/>
    </xf>
    <xf numFmtId="43" fontId="0" fillId="6" borderId="0" xfId="1" applyFont="1" applyFill="1" applyAlignment="1">
      <alignment horizontal="center" vertical="center"/>
    </xf>
    <xf numFmtId="43" fontId="0" fillId="6" borderId="6" xfId="1" applyFont="1" applyFill="1" applyBorder="1" applyAlignment="1">
      <alignment horizontal="center" vertical="center"/>
    </xf>
    <xf numFmtId="43" fontId="0" fillId="6" borderId="40" xfId="1" applyFont="1" applyFill="1" applyBorder="1" applyAlignment="1">
      <alignment horizontal="center" vertical="center"/>
    </xf>
    <xf numFmtId="14" fontId="0" fillId="6" borderId="0" xfId="0" applyNumberFormat="1" applyFill="1" applyAlignment="1">
      <alignment horizontal="center" vertical="center"/>
    </xf>
    <xf numFmtId="14" fontId="0" fillId="6" borderId="16" xfId="0" applyNumberFormat="1" applyFill="1" applyBorder="1" applyAlignment="1">
      <alignment horizontal="center" vertical="center"/>
    </xf>
    <xf numFmtId="0" fontId="32" fillId="0" borderId="5" xfId="0" applyFont="1" applyBorder="1" applyAlignment="1">
      <alignment horizontal="left" vertical="center"/>
    </xf>
    <xf numFmtId="0" fontId="32" fillId="0" borderId="0" xfId="0" applyFont="1" applyAlignment="1">
      <alignment horizontal="left" vertical="center"/>
    </xf>
    <xf numFmtId="0" fontId="32" fillId="8" borderId="6" xfId="0" applyFont="1" applyFill="1" applyBorder="1" applyAlignment="1">
      <alignment horizontal="center" vertical="center"/>
    </xf>
    <xf numFmtId="0" fontId="11" fillId="0" borderId="15" xfId="0" applyFont="1" applyBorder="1" applyAlignment="1">
      <alignment vertical="center"/>
    </xf>
    <xf numFmtId="0" fontId="11" fillId="0" borderId="16" xfId="0" applyFont="1" applyBorder="1" applyAlignment="1">
      <alignment vertical="center"/>
    </xf>
    <xf numFmtId="44" fontId="11" fillId="9" borderId="16" xfId="28" applyNumberFormat="1" applyFont="1" applyBorder="1" applyAlignment="1">
      <alignment horizontal="center" vertical="center"/>
    </xf>
    <xf numFmtId="0" fontId="32" fillId="0" borderId="15" xfId="0" applyFont="1" applyBorder="1" applyAlignment="1">
      <alignment horizontal="left" vertical="center"/>
    </xf>
    <xf numFmtId="0" fontId="32" fillId="0" borderId="16" xfId="0" applyFont="1" applyBorder="1" applyAlignment="1">
      <alignment horizontal="center" vertical="center"/>
    </xf>
    <xf numFmtId="0" fontId="23" fillId="7" borderId="0" xfId="13" applyFont="1" applyFill="1" applyAlignment="1">
      <alignment horizontal="center" vertical="center"/>
    </xf>
    <xf numFmtId="0" fontId="23" fillId="0" borderId="0" xfId="13" applyFont="1" applyFill="1" applyAlignment="1">
      <alignment horizontal="center" vertical="center"/>
    </xf>
    <xf numFmtId="0" fontId="23" fillId="0" borderId="15" xfId="13" applyFont="1" applyFill="1" applyBorder="1" applyAlignment="1">
      <alignment horizontal="center" vertical="center"/>
    </xf>
    <xf numFmtId="0" fontId="23" fillId="0" borderId="0" xfId="13" applyFont="1" applyFill="1" applyBorder="1" applyAlignment="1">
      <alignment horizontal="center" vertical="center"/>
    </xf>
    <xf numFmtId="0" fontId="23" fillId="0" borderId="16" xfId="13" applyFont="1" applyFill="1" applyBorder="1" applyAlignment="1">
      <alignment horizontal="center" vertical="center"/>
    </xf>
    <xf numFmtId="171" fontId="0" fillId="6" borderId="0" xfId="0" applyNumberFormat="1" applyFill="1" applyAlignment="1">
      <alignment vertical="center"/>
    </xf>
    <xf numFmtId="14" fontId="0" fillId="6" borderId="0" xfId="0" applyNumberFormat="1" applyFill="1" applyAlignment="1">
      <alignment vertical="center"/>
    </xf>
    <xf numFmtId="14" fontId="0" fillId="6" borderId="5" xfId="0" applyNumberFormat="1" applyFill="1" applyBorder="1" applyAlignment="1">
      <alignment vertical="center"/>
    </xf>
    <xf numFmtId="14" fontId="0" fillId="6" borderId="5" xfId="0" applyNumberFormat="1" applyFill="1" applyBorder="1" applyAlignment="1">
      <alignment horizontal="center" vertical="center"/>
    </xf>
    <xf numFmtId="43" fontId="0" fillId="6" borderId="0" xfId="1" applyFont="1" applyFill="1" applyBorder="1" applyAlignment="1">
      <alignment horizontal="center" vertical="center"/>
    </xf>
    <xf numFmtId="5" fontId="12" fillId="0" borderId="5" xfId="14" applyNumberFormat="1" applyFont="1" applyBorder="1" applyAlignment="1">
      <alignment horizontal="left" vertical="center"/>
    </xf>
    <xf numFmtId="5" fontId="12" fillId="0" borderId="0" xfId="14" applyNumberFormat="1" applyFont="1" applyAlignment="1">
      <alignment horizontal="left" vertical="center"/>
    </xf>
    <xf numFmtId="43" fontId="12" fillId="8" borderId="6" xfId="1" applyFont="1" applyFill="1" applyBorder="1" applyAlignment="1">
      <alignment horizontal="right" vertical="center"/>
    </xf>
    <xf numFmtId="0" fontId="14" fillId="0" borderId="15" xfId="13" applyFont="1" applyFill="1" applyBorder="1" applyAlignment="1">
      <alignment horizontal="left" vertical="center"/>
    </xf>
    <xf numFmtId="0" fontId="14" fillId="0" borderId="16" xfId="13" applyFont="1" applyFill="1" applyBorder="1" applyAlignment="1">
      <alignment horizontal="left" vertical="center"/>
    </xf>
    <xf numFmtId="0" fontId="35" fillId="0" borderId="0" xfId="0" applyFont="1" applyAlignment="1">
      <alignment vertical="center"/>
    </xf>
    <xf numFmtId="0" fontId="0" fillId="0" borderId="15" xfId="0" applyBorder="1" applyAlignment="1">
      <alignment horizontal="right" vertical="center"/>
    </xf>
    <xf numFmtId="172" fontId="0" fillId="0" borderId="4" xfId="12" applyNumberFormat="1" applyFont="1" applyFill="1" applyBorder="1" applyAlignment="1">
      <alignment horizontal="center" vertical="center"/>
    </xf>
    <xf numFmtId="44" fontId="0" fillId="0" borderId="0" xfId="12" applyFont="1" applyBorder="1" applyAlignment="1">
      <alignment vertical="center"/>
    </xf>
    <xf numFmtId="44" fontId="0" fillId="0" borderId="16" xfId="12" applyFont="1" applyBorder="1" applyAlignment="1">
      <alignment vertical="center"/>
    </xf>
    <xf numFmtId="172" fontId="0" fillId="0" borderId="0" xfId="1" applyNumberFormat="1" applyFont="1" applyBorder="1" applyAlignment="1">
      <alignment vertical="center"/>
    </xf>
    <xf numFmtId="167" fontId="0" fillId="0" borderId="0" xfId="12" applyNumberFormat="1" applyFont="1" applyBorder="1" applyAlignment="1">
      <alignment vertical="center"/>
    </xf>
    <xf numFmtId="167" fontId="0" fillId="0" borderId="16" xfId="12" applyNumberFormat="1" applyFont="1" applyBorder="1" applyAlignment="1">
      <alignment vertical="center"/>
    </xf>
    <xf numFmtId="0" fontId="11" fillId="11" borderId="13" xfId="0" applyFont="1" applyFill="1" applyBorder="1" applyAlignment="1">
      <alignment vertical="center"/>
    </xf>
    <xf numFmtId="0" fontId="11" fillId="11" borderId="9" xfId="0" applyFont="1" applyFill="1" applyBorder="1" applyAlignment="1">
      <alignment vertical="center"/>
    </xf>
    <xf numFmtId="0" fontId="11" fillId="11" borderId="7" xfId="0" applyFont="1" applyFill="1" applyBorder="1" applyAlignment="1">
      <alignment vertical="center"/>
    </xf>
    <xf numFmtId="0" fontId="11" fillId="11" borderId="10" xfId="0" applyFont="1" applyFill="1" applyBorder="1" applyAlignment="1">
      <alignment vertical="center"/>
    </xf>
    <xf numFmtId="0" fontId="11" fillId="11" borderId="7" xfId="0" applyFont="1" applyFill="1" applyBorder="1" applyAlignment="1">
      <alignment horizontal="center" vertical="center" wrapText="1"/>
    </xf>
    <xf numFmtId="0" fontId="11" fillId="11" borderId="14" xfId="0" applyFont="1" applyFill="1" applyBorder="1" applyAlignment="1">
      <alignment horizontal="center" vertical="center" wrapText="1"/>
    </xf>
    <xf numFmtId="5" fontId="34" fillId="11" borderId="30" xfId="1" applyNumberFormat="1" applyFont="1" applyFill="1" applyBorder="1" applyAlignment="1">
      <alignment vertical="center"/>
    </xf>
    <xf numFmtId="5" fontId="15" fillId="11" borderId="33" xfId="14" applyNumberFormat="1" applyFont="1" applyFill="1" applyBorder="1" applyAlignment="1">
      <alignment horizontal="center" vertical="center" wrapText="1"/>
    </xf>
    <xf numFmtId="172" fontId="12" fillId="0" borderId="0" xfId="14" applyNumberFormat="1" applyFont="1" applyAlignment="1">
      <alignment horizontal="left" vertical="center"/>
    </xf>
    <xf numFmtId="43" fontId="12" fillId="0" borderId="6" xfId="1" applyFont="1" applyFill="1" applyBorder="1" applyAlignment="1">
      <alignment horizontal="right" vertical="center"/>
    </xf>
    <xf numFmtId="43" fontId="38" fillId="0" borderId="0" xfId="13" applyNumberFormat="1" applyFont="1" applyAlignment="1">
      <alignment horizontal="center" vertical="center"/>
    </xf>
    <xf numFmtId="167" fontId="0" fillId="0" borderId="16" xfId="0" applyNumberFormat="1" applyBorder="1" applyAlignment="1">
      <alignment vertical="center"/>
    </xf>
    <xf numFmtId="167" fontId="0" fillId="0" borderId="0" xfId="0" applyNumberFormat="1" applyAlignment="1">
      <alignment vertical="center"/>
    </xf>
    <xf numFmtId="14" fontId="38" fillId="0" borderId="0" xfId="13" applyNumberFormat="1" applyFont="1" applyAlignment="1">
      <alignment horizontal="center" vertical="center"/>
    </xf>
    <xf numFmtId="5" fontId="12" fillId="0" borderId="15" xfId="14" applyNumberFormat="1" applyFont="1" applyBorder="1" applyAlignment="1">
      <alignment horizontal="left" vertical="center"/>
    </xf>
    <xf numFmtId="167" fontId="14" fillId="0" borderId="16" xfId="0" applyNumberFormat="1" applyFont="1" applyBorder="1" applyAlignment="1">
      <alignment horizontal="right" vertical="center"/>
    </xf>
    <xf numFmtId="0" fontId="0" fillId="7" borderId="0" xfId="0" applyFill="1" applyAlignment="1">
      <alignment horizontal="center" vertical="center"/>
    </xf>
    <xf numFmtId="0" fontId="0" fillId="0" borderId="0" xfId="0" applyAlignment="1">
      <alignment horizontal="center" vertical="center"/>
    </xf>
    <xf numFmtId="0" fontId="0" fillId="0" borderId="15" xfId="0" applyBorder="1" applyAlignment="1">
      <alignment horizontal="left" vertical="center"/>
    </xf>
    <xf numFmtId="0" fontId="0" fillId="0" borderId="16" xfId="0" applyBorder="1" applyAlignment="1">
      <alignment horizontal="left" vertical="center"/>
    </xf>
    <xf numFmtId="172" fontId="0" fillId="0" borderId="0" xfId="12" applyNumberFormat="1" applyFont="1" applyFill="1" applyBorder="1" applyAlignment="1">
      <alignment horizontal="center" vertical="center"/>
    </xf>
    <xf numFmtId="172" fontId="0" fillId="0" borderId="15" xfId="0" applyNumberFormat="1" applyBorder="1" applyAlignment="1">
      <alignment vertical="center"/>
    </xf>
    <xf numFmtId="14" fontId="0" fillId="0" borderId="0" xfId="0" applyNumberFormat="1" applyAlignment="1">
      <alignment vertical="center"/>
    </xf>
    <xf numFmtId="43" fontId="0" fillId="6" borderId="6" xfId="0" applyNumberFormat="1" applyFill="1" applyBorder="1" applyAlignment="1">
      <alignment vertical="center"/>
    </xf>
    <xf numFmtId="43" fontId="0" fillId="6" borderId="0" xfId="1" applyFont="1" applyFill="1" applyBorder="1" applyAlignment="1">
      <alignment vertical="center"/>
    </xf>
    <xf numFmtId="0" fontId="0" fillId="6" borderId="5" xfId="0" applyFill="1" applyBorder="1" applyAlignment="1">
      <alignment vertical="center"/>
    </xf>
    <xf numFmtId="43" fontId="0" fillId="6" borderId="0" xfId="0" applyNumberFormat="1" applyFill="1" applyAlignment="1">
      <alignment vertical="center"/>
    </xf>
    <xf numFmtId="167" fontId="0" fillId="6" borderId="16" xfId="0" applyNumberFormat="1" applyFill="1" applyBorder="1" applyAlignment="1">
      <alignment vertical="center"/>
    </xf>
    <xf numFmtId="5" fontId="20" fillId="11" borderId="34" xfId="14" applyNumberFormat="1" applyFont="1" applyFill="1" applyBorder="1" applyAlignment="1">
      <alignment vertical="center" wrapText="1"/>
    </xf>
    <xf numFmtId="5" fontId="20" fillId="11" borderId="2" xfId="14" applyNumberFormat="1" applyFont="1" applyFill="1" applyBorder="1" applyAlignment="1">
      <alignment vertical="center" wrapText="1"/>
    </xf>
    <xf numFmtId="5" fontId="20" fillId="11" borderId="35" xfId="14" applyNumberFormat="1" applyFont="1" applyFill="1" applyBorder="1" applyAlignment="1">
      <alignment vertical="center" wrapText="1"/>
    </xf>
    <xf numFmtId="5" fontId="12" fillId="6" borderId="0" xfId="5" applyNumberFormat="1" applyFont="1" applyFill="1" applyAlignment="1">
      <alignment horizontal="right" vertical="center"/>
      <protection locked="0"/>
    </xf>
    <xf numFmtId="9" fontId="12" fillId="6" borderId="0" xfId="22" applyFont="1" applyFill="1" applyBorder="1" applyAlignment="1">
      <alignment horizontal="right" vertical="center"/>
    </xf>
    <xf numFmtId="43" fontId="12" fillId="6" borderId="0" xfId="1" applyFont="1" applyFill="1" applyBorder="1" applyAlignment="1">
      <alignment horizontal="right" vertical="center"/>
    </xf>
    <xf numFmtId="7" fontId="12" fillId="6" borderId="16" xfId="12" applyNumberFormat="1" applyFont="1" applyFill="1" applyBorder="1" applyAlignment="1">
      <alignment vertical="center"/>
    </xf>
    <xf numFmtId="7" fontId="38" fillId="0" borderId="0" xfId="13" applyNumberFormat="1" applyFont="1" applyAlignment="1">
      <alignment horizontal="right" vertical="center"/>
    </xf>
    <xf numFmtId="14" fontId="35" fillId="0" borderId="0" xfId="0" applyNumberFormat="1" applyFont="1" applyAlignment="1">
      <alignment vertical="center"/>
    </xf>
    <xf numFmtId="0" fontId="11" fillId="0" borderId="15" xfId="0" applyFont="1" applyBorder="1" applyAlignment="1">
      <alignment horizontal="left" vertical="center"/>
    </xf>
    <xf numFmtId="0" fontId="29" fillId="0" borderId="0" xfId="0" applyFont="1" applyAlignment="1">
      <alignment vertical="center" wrapText="1"/>
    </xf>
    <xf numFmtId="0" fontId="29" fillId="0" borderId="0" xfId="0" applyFont="1" applyAlignment="1">
      <alignment horizontal="left" vertical="center"/>
    </xf>
    <xf numFmtId="167" fontId="29" fillId="0" borderId="16" xfId="12" applyNumberFormat="1" applyFont="1" applyBorder="1" applyAlignment="1">
      <alignment horizontal="left" vertical="center"/>
    </xf>
    <xf numFmtId="2" fontId="29" fillId="0" borderId="0" xfId="0" applyNumberFormat="1" applyFont="1" applyAlignment="1">
      <alignment horizontal="left" vertical="center"/>
    </xf>
    <xf numFmtId="8" fontId="29" fillId="0" borderId="0" xfId="12" applyNumberFormat="1" applyFont="1" applyFill="1" applyBorder="1" applyAlignment="1">
      <alignment horizontal="left" vertical="center"/>
    </xf>
    <xf numFmtId="0" fontId="0" fillId="0" borderId="15" xfId="0" applyBorder="1" applyAlignment="1">
      <alignment vertical="center"/>
    </xf>
    <xf numFmtId="172" fontId="12" fillId="6" borderId="0" xfId="1" applyNumberFormat="1" applyFont="1" applyFill="1" applyBorder="1" applyAlignment="1">
      <alignment vertical="center"/>
    </xf>
    <xf numFmtId="172" fontId="12" fillId="8" borderId="0" xfId="1" applyNumberFormat="1" applyFont="1" applyFill="1" applyBorder="1" applyAlignment="1">
      <alignment vertical="center"/>
    </xf>
    <xf numFmtId="7" fontId="12" fillId="6" borderId="0" xfId="14" applyNumberFormat="1" applyFont="1" applyFill="1" applyAlignment="1">
      <alignment vertical="center"/>
    </xf>
    <xf numFmtId="44" fontId="12" fillId="6" borderId="0" xfId="14" applyNumberFormat="1" applyFont="1" applyFill="1" applyAlignment="1">
      <alignment vertical="center"/>
    </xf>
    <xf numFmtId="9" fontId="12" fillId="6" borderId="16" xfId="14" applyNumberFormat="1" applyFont="1" applyFill="1" applyBorder="1" applyAlignment="1">
      <alignment vertical="center"/>
    </xf>
    <xf numFmtId="8" fontId="12" fillId="6" borderId="0" xfId="5" applyFont="1" applyFill="1" applyAlignment="1">
      <alignment horizontal="right" vertical="center"/>
      <protection locked="0"/>
    </xf>
    <xf numFmtId="167" fontId="12" fillId="0" borderId="16" xfId="1" applyNumberFormat="1" applyFont="1" applyFill="1" applyBorder="1" applyAlignment="1">
      <alignment horizontal="right" vertical="center"/>
    </xf>
    <xf numFmtId="5" fontId="12" fillId="0" borderId="15" xfId="14" applyNumberFormat="1" applyFont="1" applyBorder="1" applyAlignment="1">
      <alignment vertical="center"/>
    </xf>
    <xf numFmtId="5" fontId="14" fillId="0" borderId="16" xfId="14" applyNumberFormat="1" applyFont="1" applyBorder="1" applyAlignment="1">
      <alignment horizontal="left" vertical="center"/>
    </xf>
    <xf numFmtId="43" fontId="0" fillId="0" borderId="0" xfId="0" applyNumberFormat="1" applyAlignment="1">
      <alignment vertical="center"/>
    </xf>
    <xf numFmtId="167" fontId="12" fillId="0" borderId="16" xfId="12" applyNumberFormat="1" applyFont="1" applyFill="1" applyBorder="1" applyAlignment="1">
      <alignment horizontal="right" vertical="center"/>
    </xf>
    <xf numFmtId="5" fontId="15" fillId="0" borderId="8" xfId="14" applyNumberFormat="1" applyFont="1" applyBorder="1" applyAlignment="1">
      <alignment horizontal="left" vertical="center"/>
    </xf>
    <xf numFmtId="172" fontId="15" fillId="0" borderId="2" xfId="14" applyNumberFormat="1" applyFont="1" applyBorder="1" applyAlignment="1">
      <alignment horizontal="left" vertical="center"/>
    </xf>
    <xf numFmtId="43" fontId="15" fillId="0" borderId="12" xfId="1" applyFont="1" applyFill="1" applyBorder="1" applyAlignment="1">
      <alignment horizontal="right" vertical="center"/>
    </xf>
    <xf numFmtId="0" fontId="11" fillId="0" borderId="34" xfId="0" applyFont="1" applyBorder="1" applyAlignment="1">
      <alignment horizontal="left" vertical="center"/>
    </xf>
    <xf numFmtId="0" fontId="33" fillId="0" borderId="2" xfId="0" applyFont="1" applyBorder="1" applyAlignment="1">
      <alignment horizontal="right" vertical="center"/>
    </xf>
    <xf numFmtId="44" fontId="33" fillId="0" borderId="35" xfId="12" applyFont="1" applyBorder="1" applyAlignment="1">
      <alignment horizontal="left" vertical="center"/>
    </xf>
    <xf numFmtId="167" fontId="12" fillId="0" borderId="16" xfId="14" applyNumberFormat="1" applyFont="1" applyBorder="1" applyAlignment="1">
      <alignment horizontal="right" vertical="center"/>
    </xf>
    <xf numFmtId="172" fontId="12" fillId="6" borderId="18" xfId="1" applyNumberFormat="1" applyFont="1" applyFill="1" applyBorder="1" applyAlignment="1">
      <alignment vertical="center"/>
    </xf>
    <xf numFmtId="172" fontId="12" fillId="8" borderId="18" xfId="1" applyNumberFormat="1" applyFont="1" applyFill="1" applyBorder="1" applyAlignment="1">
      <alignment vertical="center"/>
    </xf>
    <xf numFmtId="7" fontId="12" fillId="6" borderId="18" xfId="14" applyNumberFormat="1" applyFont="1" applyFill="1" applyBorder="1" applyAlignment="1">
      <alignment vertical="center"/>
    </xf>
    <xf numFmtId="44" fontId="12" fillId="6" borderId="18" xfId="14" applyNumberFormat="1" applyFont="1" applyFill="1" applyBorder="1" applyAlignment="1">
      <alignment vertical="center"/>
    </xf>
    <xf numFmtId="9" fontId="12" fillId="6" borderId="20" xfId="14" applyNumberFormat="1" applyFont="1" applyFill="1" applyBorder="1" applyAlignment="1">
      <alignment vertical="center"/>
    </xf>
    <xf numFmtId="170" fontId="12" fillId="0" borderId="15" xfId="6" applyNumberFormat="1" applyFont="1" applyBorder="1" applyAlignment="1">
      <alignment horizontal="left" vertical="center"/>
    </xf>
    <xf numFmtId="167" fontId="12" fillId="0" borderId="16" xfId="11" applyNumberFormat="1" applyFont="1" applyBorder="1" applyAlignment="1" applyProtection="1">
      <alignment horizontal="right" vertical="center"/>
    </xf>
    <xf numFmtId="0" fontId="9" fillId="0" borderId="16" xfId="0" applyFont="1" applyBorder="1" applyAlignment="1">
      <alignment horizontal="left" vertical="center"/>
    </xf>
    <xf numFmtId="172" fontId="0" fillId="0" borderId="0" xfId="0" applyNumberFormat="1" applyAlignment="1">
      <alignment vertical="center"/>
    </xf>
    <xf numFmtId="5" fontId="12" fillId="6" borderId="13" xfId="14" applyNumberFormat="1" applyFont="1" applyFill="1" applyBorder="1" applyAlignment="1">
      <alignment vertical="center"/>
    </xf>
    <xf numFmtId="44" fontId="12" fillId="6" borderId="9" xfId="5" applyNumberFormat="1" applyFont="1" applyFill="1" applyBorder="1" applyAlignment="1">
      <alignment vertical="center"/>
      <protection locked="0"/>
    </xf>
    <xf numFmtId="9" fontId="12" fillId="6" borderId="0" xfId="22" quotePrefix="1" applyFont="1" applyFill="1" applyBorder="1" applyAlignment="1">
      <alignment horizontal="right" vertical="center"/>
    </xf>
    <xf numFmtId="9" fontId="12" fillId="6" borderId="9" xfId="22" applyFont="1" applyFill="1" applyBorder="1" applyAlignment="1">
      <alignment horizontal="right" vertical="center"/>
    </xf>
    <xf numFmtId="43" fontId="12" fillId="6" borderId="9" xfId="1" applyFont="1" applyFill="1" applyBorder="1" applyAlignment="1">
      <alignment horizontal="right" vertical="center"/>
    </xf>
    <xf numFmtId="167" fontId="12" fillId="6" borderId="14" xfId="12" applyNumberFormat="1" applyFont="1" applyFill="1" applyBorder="1" applyAlignment="1">
      <alignment vertical="center"/>
    </xf>
    <xf numFmtId="167" fontId="29" fillId="0" borderId="16" xfId="12" applyNumberFormat="1" applyFont="1" applyBorder="1" applyAlignment="1">
      <alignment horizontal="right" vertical="center"/>
    </xf>
    <xf numFmtId="5" fontId="12" fillId="0" borderId="17" xfId="14" applyNumberFormat="1" applyFont="1" applyBorder="1" applyAlignment="1">
      <alignment vertical="center"/>
    </xf>
    <xf numFmtId="0" fontId="9" fillId="0" borderId="20" xfId="0" applyFont="1" applyBorder="1" applyAlignment="1">
      <alignment horizontal="left" vertical="center"/>
    </xf>
    <xf numFmtId="5" fontId="0" fillId="7" borderId="0" xfId="0" applyNumberFormat="1" applyFill="1" applyAlignment="1">
      <alignment vertical="center"/>
    </xf>
    <xf numFmtId="8" fontId="12" fillId="6" borderId="34" xfId="5" applyFont="1" applyFill="1" applyBorder="1" applyAlignment="1">
      <alignment horizontal="right" vertical="center"/>
      <protection locked="0"/>
    </xf>
    <xf numFmtId="8" fontId="12" fillId="6" borderId="2" xfId="5" applyFont="1" applyFill="1" applyBorder="1" applyAlignment="1">
      <alignment horizontal="right" vertical="center"/>
      <protection locked="0"/>
    </xf>
    <xf numFmtId="167" fontId="12" fillId="6" borderId="2" xfId="11" applyNumberFormat="1" applyFont="1" applyFill="1" applyBorder="1" applyAlignment="1">
      <alignment horizontal="right" vertical="center"/>
      <protection locked="0"/>
    </xf>
    <xf numFmtId="9" fontId="12" fillId="6" borderId="2" xfId="12" applyNumberFormat="1" applyFont="1" applyFill="1" applyBorder="1" applyAlignment="1">
      <alignment horizontal="right" vertical="center"/>
    </xf>
    <xf numFmtId="43" fontId="12" fillId="6" borderId="2" xfId="1" applyFont="1" applyFill="1" applyBorder="1" applyAlignment="1">
      <alignment horizontal="right" vertical="center"/>
    </xf>
    <xf numFmtId="9" fontId="12" fillId="6" borderId="2" xfId="22" applyFont="1" applyFill="1" applyBorder="1" applyAlignment="1">
      <alignment horizontal="right" vertical="center"/>
    </xf>
    <xf numFmtId="167" fontId="12" fillId="6" borderId="35" xfId="12" applyNumberFormat="1" applyFont="1" applyFill="1" applyBorder="1" applyAlignment="1">
      <alignment horizontal="right" vertical="center"/>
    </xf>
    <xf numFmtId="167" fontId="12" fillId="0" borderId="16" xfId="5" applyNumberFormat="1" applyFont="1" applyBorder="1" applyAlignment="1" applyProtection="1">
      <alignment horizontal="right" vertical="center"/>
    </xf>
    <xf numFmtId="0" fontId="0" fillId="0" borderId="0" xfId="0" applyAlignment="1">
      <alignment horizontal="left" vertical="center"/>
    </xf>
    <xf numFmtId="0" fontId="0" fillId="0" borderId="13" xfId="0" applyBorder="1" applyAlignment="1">
      <alignment horizontal="right" vertical="center"/>
    </xf>
    <xf numFmtId="172" fontId="0" fillId="0" borderId="9" xfId="12" applyNumberFormat="1" applyFont="1" applyFill="1" applyBorder="1" applyAlignment="1">
      <alignment horizontal="center" vertical="center"/>
    </xf>
    <xf numFmtId="44" fontId="0" fillId="0" borderId="9" xfId="12" applyFont="1" applyBorder="1" applyAlignment="1">
      <alignment vertical="center"/>
    </xf>
    <xf numFmtId="44" fontId="0" fillId="0" borderId="14" xfId="12" applyFont="1" applyBorder="1" applyAlignment="1">
      <alignment vertical="center"/>
    </xf>
    <xf numFmtId="167" fontId="0" fillId="0" borderId="9" xfId="12" applyNumberFormat="1" applyFont="1" applyBorder="1" applyAlignment="1">
      <alignment vertical="center"/>
    </xf>
    <xf numFmtId="167" fontId="0" fillId="0" borderId="14" xfId="12" applyNumberFormat="1" applyFont="1" applyBorder="1" applyAlignment="1">
      <alignment vertical="center"/>
    </xf>
    <xf numFmtId="5" fontId="12" fillId="6" borderId="17" xfId="14" applyNumberFormat="1" applyFont="1" applyFill="1" applyBorder="1" applyAlignment="1">
      <alignment horizontal="center" vertical="center"/>
    </xf>
    <xf numFmtId="5" fontId="12" fillId="6" borderId="18" xfId="14" applyNumberFormat="1" applyFont="1" applyFill="1" applyBorder="1" applyAlignment="1">
      <alignment horizontal="center" vertical="center"/>
    </xf>
    <xf numFmtId="5" fontId="12" fillId="6" borderId="18" xfId="14" applyNumberFormat="1" applyFont="1" applyFill="1" applyBorder="1" applyAlignment="1">
      <alignment horizontal="left" vertical="center"/>
    </xf>
    <xf numFmtId="5" fontId="15" fillId="6" borderId="18" xfId="14" applyNumberFormat="1" applyFont="1" applyFill="1" applyBorder="1" applyAlignment="1">
      <alignment horizontal="left" vertical="center"/>
    </xf>
    <xf numFmtId="5" fontId="15" fillId="6" borderId="18" xfId="14" applyNumberFormat="1" applyFont="1" applyFill="1" applyBorder="1" applyAlignment="1">
      <alignment horizontal="center" vertical="center"/>
    </xf>
    <xf numFmtId="7" fontId="15" fillId="6" borderId="20" xfId="14" applyNumberFormat="1" applyFont="1" applyFill="1" applyBorder="1" applyAlignment="1">
      <alignment horizontal="right" vertical="center"/>
    </xf>
    <xf numFmtId="0" fontId="11" fillId="0" borderId="17" xfId="0" applyFont="1" applyBorder="1" applyAlignment="1">
      <alignment vertical="center"/>
    </xf>
    <xf numFmtId="0" fontId="11" fillId="0" borderId="18" xfId="0" applyFont="1" applyBorder="1" applyAlignment="1">
      <alignment vertical="center"/>
    </xf>
    <xf numFmtId="171" fontId="11" fillId="0" borderId="18" xfId="0" applyNumberFormat="1" applyFont="1" applyBorder="1" applyAlignment="1">
      <alignment vertical="center"/>
    </xf>
    <xf numFmtId="44" fontId="11" fillId="0" borderId="18" xfId="0" applyNumberFormat="1" applyFont="1" applyBorder="1" applyAlignment="1">
      <alignment vertical="center"/>
    </xf>
    <xf numFmtId="44" fontId="11" fillId="0" borderId="20" xfId="0" applyNumberFormat="1" applyFont="1" applyBorder="1" applyAlignment="1">
      <alignment vertical="center"/>
    </xf>
    <xf numFmtId="172" fontId="11" fillId="0" borderId="18" xfId="1" applyNumberFormat="1" applyFont="1" applyBorder="1" applyAlignment="1">
      <alignment vertical="center"/>
    </xf>
    <xf numFmtId="43" fontId="12" fillId="0" borderId="6" xfId="1" applyFont="1" applyBorder="1" applyAlignment="1">
      <alignment horizontal="right" vertical="center"/>
    </xf>
    <xf numFmtId="167" fontId="12" fillId="0" borderId="16" xfId="1" applyNumberFormat="1" applyFont="1" applyFill="1" applyBorder="1" applyAlignment="1" applyProtection="1">
      <alignment horizontal="right" vertical="center"/>
    </xf>
    <xf numFmtId="167" fontId="29" fillId="0" borderId="16" xfId="12" applyNumberFormat="1" applyFont="1" applyFill="1" applyBorder="1" applyAlignment="1">
      <alignment horizontal="right" vertical="center"/>
    </xf>
    <xf numFmtId="5" fontId="12" fillId="0" borderId="17" xfId="14" applyNumberFormat="1" applyFont="1" applyBorder="1" applyAlignment="1">
      <alignment horizontal="left" vertical="center"/>
    </xf>
    <xf numFmtId="9" fontId="12" fillId="0" borderId="20" xfId="22" applyFont="1" applyFill="1" applyBorder="1" applyAlignment="1">
      <alignment horizontal="right" vertical="center"/>
    </xf>
    <xf numFmtId="170" fontId="12" fillId="0" borderId="5" xfId="6" applyNumberFormat="1" applyFont="1" applyBorder="1" applyAlignment="1">
      <alignment horizontal="left" vertical="center"/>
    </xf>
    <xf numFmtId="170" fontId="12" fillId="0" borderId="0" xfId="6" applyNumberFormat="1" applyFont="1" applyAlignment="1">
      <alignment horizontal="left" vertical="center"/>
    </xf>
    <xf numFmtId="43" fontId="12" fillId="0" borderId="6" xfId="1" applyFont="1" applyBorder="1" applyAlignment="1" applyProtection="1">
      <alignment horizontal="right" vertical="center"/>
    </xf>
    <xf numFmtId="167" fontId="0" fillId="0" borderId="14" xfId="0" applyNumberFormat="1" applyBorder="1" applyAlignment="1">
      <alignment vertical="center"/>
    </xf>
    <xf numFmtId="0" fontId="0" fillId="0" borderId="17" xfId="0" applyBorder="1" applyAlignment="1">
      <alignment vertical="center"/>
    </xf>
    <xf numFmtId="0" fontId="0" fillId="0" borderId="18" xfId="0" applyBorder="1" applyAlignment="1">
      <alignment vertical="center"/>
    </xf>
    <xf numFmtId="167" fontId="11" fillId="0" borderId="18" xfId="0" applyNumberFormat="1" applyFont="1" applyBorder="1" applyAlignment="1">
      <alignment vertical="center"/>
    </xf>
    <xf numFmtId="167" fontId="11" fillId="0" borderId="20" xfId="0" applyNumberFormat="1" applyFont="1" applyBorder="1" applyAlignment="1">
      <alignment vertical="center"/>
    </xf>
    <xf numFmtId="43" fontId="12" fillId="0" borderId="6" xfId="1" applyFont="1" applyFill="1" applyBorder="1" applyAlignment="1" applyProtection="1">
      <alignment horizontal="right" vertical="center"/>
    </xf>
    <xf numFmtId="0" fontId="22" fillId="0" borderId="0" xfId="0" applyFont="1" applyAlignment="1">
      <alignment horizontal="left" vertical="center"/>
    </xf>
    <xf numFmtId="0" fontId="13" fillId="7" borderId="0" xfId="0" applyFont="1" applyFill="1" applyAlignment="1">
      <alignment vertical="center"/>
    </xf>
    <xf numFmtId="0" fontId="13" fillId="0" borderId="0" xfId="0" applyFont="1" applyAlignment="1">
      <alignment vertical="center"/>
    </xf>
    <xf numFmtId="5" fontId="12" fillId="0" borderId="7" xfId="14" applyNumberFormat="1" applyFont="1" applyBorder="1" applyAlignment="1">
      <alignment horizontal="left" vertical="center"/>
    </xf>
    <xf numFmtId="5" fontId="12" fillId="0" borderId="9" xfId="14" applyNumberFormat="1" applyFont="1" applyBorder="1" applyAlignment="1">
      <alignment horizontal="left" vertical="center"/>
    </xf>
    <xf numFmtId="43" fontId="12" fillId="0" borderId="10" xfId="1" applyFont="1" applyFill="1" applyBorder="1" applyAlignment="1">
      <alignment horizontal="right" vertical="center"/>
    </xf>
    <xf numFmtId="0" fontId="11" fillId="0" borderId="13" xfId="0" applyFont="1" applyBorder="1" applyAlignment="1">
      <alignment horizontal="left" vertical="center"/>
    </xf>
    <xf numFmtId="0" fontId="0" fillId="0" borderId="13" xfId="0" applyBorder="1" applyAlignment="1">
      <alignment vertical="center"/>
    </xf>
    <xf numFmtId="167" fontId="15" fillId="0" borderId="35" xfId="0" applyNumberFormat="1" applyFont="1" applyBorder="1" applyAlignment="1">
      <alignment vertical="center"/>
    </xf>
    <xf numFmtId="167" fontId="15" fillId="0" borderId="39" xfId="0" applyNumberFormat="1" applyFont="1" applyBorder="1" applyAlignment="1">
      <alignment vertical="center"/>
    </xf>
    <xf numFmtId="0" fontId="0" fillId="0" borderId="9" xfId="0" applyBorder="1" applyAlignment="1">
      <alignment vertical="center"/>
    </xf>
    <xf numFmtId="167" fontId="0" fillId="0" borderId="9" xfId="0" applyNumberFormat="1" applyBorder="1" applyAlignment="1">
      <alignment vertical="center"/>
    </xf>
    <xf numFmtId="14" fontId="0" fillId="0" borderId="18" xfId="0" applyNumberFormat="1" applyBorder="1" applyAlignment="1">
      <alignment vertical="center"/>
    </xf>
    <xf numFmtId="0" fontId="0" fillId="6" borderId="18" xfId="0" applyFill="1" applyBorder="1" applyAlignment="1">
      <alignment vertical="center"/>
    </xf>
    <xf numFmtId="43" fontId="0" fillId="6" borderId="24" xfId="0" applyNumberFormat="1" applyFill="1" applyBorder="1" applyAlignment="1">
      <alignment vertical="center"/>
    </xf>
    <xf numFmtId="43" fontId="0" fillId="6" borderId="18" xfId="1" applyFont="1" applyFill="1" applyBorder="1" applyAlignment="1">
      <alignment vertical="center"/>
    </xf>
    <xf numFmtId="0" fontId="0" fillId="6" borderId="19" xfId="0" applyFill="1" applyBorder="1" applyAlignment="1">
      <alignment vertical="center"/>
    </xf>
    <xf numFmtId="43" fontId="0" fillId="6" borderId="18" xfId="0" applyNumberFormat="1" applyFill="1" applyBorder="1" applyAlignment="1">
      <alignment vertical="center"/>
    </xf>
    <xf numFmtId="167" fontId="0" fillId="6" borderId="20" xfId="0" applyNumberFormat="1" applyFill="1" applyBorder="1" applyAlignment="1">
      <alignment vertical="center"/>
    </xf>
    <xf numFmtId="2" fontId="11" fillId="11" borderId="22" xfId="0" applyNumberFormat="1" applyFont="1" applyFill="1" applyBorder="1" applyAlignment="1">
      <alignment vertical="center"/>
    </xf>
    <xf numFmtId="2" fontId="11" fillId="11" borderId="25" xfId="0" applyNumberFormat="1" applyFont="1" applyFill="1" applyBorder="1" applyAlignment="1">
      <alignment vertical="center"/>
    </xf>
    <xf numFmtId="2" fontId="11" fillId="11" borderId="23" xfId="0" applyNumberFormat="1" applyFont="1" applyFill="1" applyBorder="1" applyAlignment="1">
      <alignment vertical="center"/>
    </xf>
    <xf numFmtId="2" fontId="0" fillId="7" borderId="0" xfId="0" applyNumberFormat="1" applyFill="1" applyAlignment="1">
      <alignment vertical="center"/>
    </xf>
    <xf numFmtId="2" fontId="35" fillId="0" borderId="0" xfId="0" applyNumberFormat="1" applyFont="1" applyAlignment="1">
      <alignment vertical="center"/>
    </xf>
    <xf numFmtId="0" fontId="16" fillId="7" borderId="5" xfId="0" applyFont="1" applyFill="1" applyBorder="1" applyAlignment="1">
      <alignment horizontal="center" vertical="center"/>
    </xf>
    <xf numFmtId="0" fontId="30" fillId="7" borderId="6" xfId="0" applyFont="1" applyFill="1" applyBorder="1" applyAlignment="1">
      <alignment horizontal="center" vertical="center"/>
    </xf>
    <xf numFmtId="0" fontId="28" fillId="7" borderId="5" xfId="0" applyFont="1" applyFill="1" applyBorder="1" applyAlignment="1">
      <alignment horizontal="right" vertical="center"/>
    </xf>
    <xf numFmtId="0" fontId="29" fillId="7" borderId="0" xfId="0" applyFont="1" applyFill="1" applyAlignment="1">
      <alignment horizontal="left" vertical="center"/>
    </xf>
    <xf numFmtId="0" fontId="29" fillId="7" borderId="6" xfId="0" applyFont="1" applyFill="1" applyBorder="1" applyAlignment="1">
      <alignment horizontal="left" vertical="center"/>
    </xf>
    <xf numFmtId="44" fontId="29" fillId="7" borderId="6" xfId="12" applyFont="1" applyFill="1" applyBorder="1" applyAlignment="1">
      <alignment horizontal="left" vertical="center"/>
    </xf>
    <xf numFmtId="2" fontId="29" fillId="7" borderId="0" xfId="0" applyNumberFormat="1" applyFont="1" applyFill="1" applyAlignment="1">
      <alignment horizontal="left" vertical="center"/>
    </xf>
    <xf numFmtId="44" fontId="29" fillId="7" borderId="0" xfId="12" applyFont="1" applyFill="1" applyBorder="1" applyAlignment="1">
      <alignment vertical="center"/>
    </xf>
    <xf numFmtId="44" fontId="29" fillId="7" borderId="0" xfId="12" applyFont="1" applyFill="1" applyBorder="1" applyAlignment="1">
      <alignment horizontal="left" vertical="center"/>
    </xf>
    <xf numFmtId="44" fontId="0" fillId="7" borderId="6" xfId="12" applyFont="1" applyFill="1" applyBorder="1" applyAlignment="1">
      <alignment vertical="center"/>
    </xf>
    <xf numFmtId="44" fontId="0" fillId="7" borderId="0" xfId="12" applyFont="1" applyFill="1" applyBorder="1" applyAlignment="1">
      <alignment vertical="center"/>
    </xf>
    <xf numFmtId="0" fontId="29" fillId="7" borderId="0" xfId="0" applyFont="1" applyFill="1" applyAlignment="1">
      <alignment horizontal="right" vertical="center"/>
    </xf>
    <xf numFmtId="8" fontId="29" fillId="7" borderId="6" xfId="12" applyNumberFormat="1" applyFont="1" applyFill="1" applyBorder="1" applyAlignment="1">
      <alignment horizontal="right" vertical="center"/>
    </xf>
    <xf numFmtId="0" fontId="0" fillId="7" borderId="6" xfId="0" applyFill="1" applyBorder="1" applyAlignment="1">
      <alignment vertical="center"/>
    </xf>
    <xf numFmtId="0" fontId="28" fillId="7" borderId="0" xfId="0" applyFont="1" applyFill="1" applyAlignment="1">
      <alignment horizontal="right" vertical="center"/>
    </xf>
    <xf numFmtId="0" fontId="22" fillId="7" borderId="0" xfId="0" applyFont="1" applyFill="1" applyAlignment="1">
      <alignment horizontal="right" vertical="center"/>
    </xf>
    <xf numFmtId="44" fontId="29" fillId="7" borderId="6" xfId="12" applyFont="1" applyFill="1" applyBorder="1" applyAlignment="1">
      <alignment vertical="center"/>
    </xf>
    <xf numFmtId="44" fontId="0" fillId="7" borderId="10" xfId="12" applyFont="1" applyFill="1" applyBorder="1" applyAlignment="1">
      <alignment horizontal="right" vertical="center"/>
    </xf>
    <xf numFmtId="0" fontId="0" fillId="7" borderId="7" xfId="0" applyFill="1" applyBorder="1" applyAlignment="1">
      <alignment vertical="center"/>
    </xf>
    <xf numFmtId="44" fontId="24" fillId="7" borderId="12" xfId="0" applyNumberFormat="1" applyFont="1" applyFill="1" applyBorder="1" applyAlignment="1">
      <alignment vertical="center"/>
    </xf>
    <xf numFmtId="1" fontId="12" fillId="14" borderId="0" xfId="3" applyNumberFormat="1" applyFont="1" applyFill="1">
      <protection locked="0"/>
    </xf>
    <xf numFmtId="1" fontId="12" fillId="14" borderId="0" xfId="3" applyNumberFormat="1" applyFont="1" applyFill="1" applyProtection="1"/>
    <xf numFmtId="7" fontId="12" fillId="14" borderId="0" xfId="12" applyNumberFormat="1" applyFont="1" applyFill="1" applyBorder="1" applyProtection="1">
      <protection locked="0"/>
    </xf>
    <xf numFmtId="6" fontId="12" fillId="14" borderId="0" xfId="3" applyFont="1" applyFill="1">
      <protection locked="0"/>
    </xf>
    <xf numFmtId="172" fontId="12" fillId="14" borderId="0" xfId="1" applyNumberFormat="1" applyFont="1" applyFill="1" applyBorder="1" applyProtection="1">
      <protection locked="0"/>
    </xf>
    <xf numFmtId="5" fontId="12" fillId="14" borderId="37" xfId="14" applyNumberFormat="1" applyFont="1" applyFill="1" applyBorder="1" applyAlignment="1" applyProtection="1">
      <protection locked="0"/>
    </xf>
    <xf numFmtId="5" fontId="12" fillId="14" borderId="15" xfId="14" applyNumberFormat="1" applyFont="1" applyFill="1" applyBorder="1" applyAlignment="1" applyProtection="1">
      <protection locked="0"/>
    </xf>
    <xf numFmtId="5" fontId="12" fillId="14" borderId="13" xfId="14" applyNumberFormat="1" applyFont="1" applyFill="1" applyBorder="1" applyAlignment="1" applyProtection="1">
      <protection locked="0"/>
    </xf>
    <xf numFmtId="6" fontId="12" fillId="14" borderId="4" xfId="3" applyFont="1" applyFill="1" applyBorder="1">
      <protection locked="0"/>
    </xf>
    <xf numFmtId="9" fontId="12" fillId="14" borderId="4" xfId="7" applyNumberFormat="1" applyFont="1" applyFill="1" applyBorder="1">
      <protection locked="0"/>
    </xf>
    <xf numFmtId="38" fontId="12" fillId="14" borderId="4" xfId="7" applyFont="1" applyFill="1" applyBorder="1">
      <protection locked="0"/>
    </xf>
    <xf numFmtId="169" fontId="12" fillId="14" borderId="4" xfId="14" applyNumberFormat="1" applyFont="1" applyFill="1" applyBorder="1" applyAlignment="1" applyProtection="1">
      <protection locked="0"/>
    </xf>
    <xf numFmtId="9" fontId="12" fillId="14" borderId="0" xfId="7" applyNumberFormat="1" applyFont="1" applyFill="1">
      <protection locked="0"/>
    </xf>
    <xf numFmtId="38" fontId="12" fillId="14" borderId="0" xfId="7" applyFont="1" applyFill="1">
      <protection locked="0"/>
    </xf>
    <xf numFmtId="169" fontId="12" fillId="14" borderId="0" xfId="14" applyNumberFormat="1" applyFont="1" applyFill="1" applyAlignment="1" applyProtection="1">
      <protection locked="0"/>
    </xf>
    <xf numFmtId="6" fontId="12" fillId="14" borderId="9" xfId="3" applyFont="1" applyFill="1" applyBorder="1">
      <protection locked="0"/>
    </xf>
    <xf numFmtId="9" fontId="12" fillId="14" borderId="9" xfId="7" applyNumberFormat="1" applyFont="1" applyFill="1" applyBorder="1">
      <protection locked="0"/>
    </xf>
    <xf numFmtId="38" fontId="12" fillId="14" borderId="9" xfId="7" applyFont="1" applyFill="1" applyBorder="1">
      <protection locked="0"/>
    </xf>
    <xf numFmtId="169" fontId="12" fillId="14" borderId="9" xfId="14" applyNumberFormat="1" applyFont="1" applyFill="1" applyBorder="1" applyAlignment="1" applyProtection="1">
      <protection locked="0"/>
    </xf>
    <xf numFmtId="10" fontId="12" fillId="14" borderId="0" xfId="7" applyNumberFormat="1" applyFont="1" applyFill="1">
      <protection locked="0"/>
    </xf>
    <xf numFmtId="0" fontId="0" fillId="14" borderId="5" xfId="0" applyFill="1" applyBorder="1" applyAlignment="1">
      <alignment vertical="center"/>
    </xf>
    <xf numFmtId="0" fontId="0" fillId="14" borderId="31" xfId="0" applyFill="1" applyBorder="1" applyAlignment="1">
      <alignment vertical="center"/>
    </xf>
    <xf numFmtId="0" fontId="0" fillId="14" borderId="19" xfId="0" applyFill="1" applyBorder="1" applyAlignment="1">
      <alignment vertical="center"/>
    </xf>
    <xf numFmtId="167" fontId="14" fillId="14" borderId="0" xfId="12" applyNumberFormat="1" applyFont="1" applyFill="1" applyBorder="1" applyAlignment="1">
      <alignment horizontal="right" vertical="center"/>
    </xf>
    <xf numFmtId="9" fontId="0" fillId="14" borderId="0" xfId="22" applyFont="1" applyFill="1" applyBorder="1" applyAlignment="1">
      <alignment horizontal="right" vertical="center"/>
    </xf>
    <xf numFmtId="9" fontId="14" fillId="14" borderId="0" xfId="22" applyFont="1" applyFill="1" applyBorder="1" applyAlignment="1">
      <alignment horizontal="right" vertical="center"/>
    </xf>
    <xf numFmtId="9" fontId="0" fillId="14" borderId="0" xfId="22" applyFont="1" applyFill="1" applyBorder="1" applyAlignment="1">
      <alignment vertical="center"/>
    </xf>
    <xf numFmtId="167" fontId="14" fillId="14" borderId="18" xfId="12" applyNumberFormat="1" applyFont="1" applyFill="1" applyBorder="1" applyAlignment="1">
      <alignment horizontal="right" vertical="center"/>
    </xf>
    <xf numFmtId="14" fontId="0" fillId="14" borderId="0" xfId="12" applyNumberFormat="1" applyFont="1" applyFill="1" applyBorder="1" applyAlignment="1">
      <alignment horizontal="center" vertical="center"/>
    </xf>
    <xf numFmtId="14" fontId="0" fillId="14" borderId="9" xfId="12" applyNumberFormat="1" applyFont="1" applyFill="1" applyBorder="1" applyAlignment="1">
      <alignment horizontal="center" vertical="center"/>
    </xf>
    <xf numFmtId="44" fontId="0" fillId="14" borderId="4" xfId="12" applyFont="1" applyFill="1" applyBorder="1" applyAlignment="1">
      <alignment vertical="center"/>
    </xf>
    <xf numFmtId="172" fontId="0" fillId="14" borderId="0" xfId="1" applyNumberFormat="1" applyFont="1" applyFill="1" applyBorder="1" applyAlignment="1">
      <alignment vertical="center"/>
    </xf>
    <xf numFmtId="172" fontId="0" fillId="14" borderId="0" xfId="1" applyNumberFormat="1" applyFont="1" applyFill="1" applyBorder="1" applyAlignment="1">
      <alignment horizontal="center" vertical="center"/>
    </xf>
    <xf numFmtId="1" fontId="0" fillId="14" borderId="5" xfId="12" applyNumberFormat="1" applyFont="1" applyFill="1" applyBorder="1" applyAlignment="1">
      <alignment horizontal="center" vertical="center"/>
    </xf>
    <xf numFmtId="44" fontId="0" fillId="14" borderId="0" xfId="12" applyFont="1" applyFill="1" applyBorder="1" applyAlignment="1">
      <alignment vertical="center"/>
    </xf>
    <xf numFmtId="0" fontId="0" fillId="14" borderId="5" xfId="12" applyNumberFormat="1" applyFont="1" applyFill="1" applyBorder="1" applyAlignment="1">
      <alignment horizontal="center" vertical="center"/>
    </xf>
    <xf numFmtId="44" fontId="0" fillId="14" borderId="9" xfId="12" applyFont="1" applyFill="1" applyBorder="1" applyAlignment="1">
      <alignment vertical="center"/>
    </xf>
    <xf numFmtId="172" fontId="0" fillId="14" borderId="9" xfId="1" applyNumberFormat="1" applyFont="1" applyFill="1" applyBorder="1" applyAlignment="1">
      <alignment vertical="center"/>
    </xf>
    <xf numFmtId="172" fontId="0" fillId="14" borderId="10" xfId="1" applyNumberFormat="1" applyFont="1" applyFill="1" applyBorder="1" applyAlignment="1">
      <alignment horizontal="center" vertical="center"/>
    </xf>
    <xf numFmtId="0" fontId="0" fillId="14" borderId="7" xfId="12" applyNumberFormat="1" applyFont="1" applyFill="1" applyBorder="1" applyAlignment="1">
      <alignment horizontal="center" vertical="center"/>
    </xf>
    <xf numFmtId="0" fontId="0" fillId="14" borderId="9" xfId="0" applyFill="1" applyBorder="1" applyAlignment="1">
      <alignment vertical="center"/>
    </xf>
    <xf numFmtId="0" fontId="0" fillId="14" borderId="0" xfId="12" applyNumberFormat="1" applyFont="1" applyFill="1" applyBorder="1" applyAlignment="1">
      <alignment horizontal="center" vertical="center"/>
    </xf>
    <xf numFmtId="0" fontId="0" fillId="14" borderId="9" xfId="12" applyNumberFormat="1" applyFont="1" applyFill="1" applyBorder="1" applyAlignment="1">
      <alignment horizontal="center" vertical="center"/>
    </xf>
    <xf numFmtId="5" fontId="12" fillId="14" borderId="15" xfId="14" applyNumberFormat="1" applyFont="1" applyFill="1" applyBorder="1" applyAlignment="1">
      <alignment vertical="center"/>
    </xf>
    <xf numFmtId="14" fontId="12" fillId="14" borderId="0" xfId="14" applyNumberFormat="1" applyFont="1" applyFill="1" applyAlignment="1">
      <alignment vertical="center"/>
    </xf>
    <xf numFmtId="5" fontId="12" fillId="14" borderId="0" xfId="14" applyNumberFormat="1" applyFont="1" applyFill="1" applyAlignment="1">
      <alignment vertical="center"/>
    </xf>
    <xf numFmtId="5" fontId="12" fillId="14" borderId="17" xfId="14" applyNumberFormat="1" applyFont="1" applyFill="1" applyBorder="1" applyAlignment="1">
      <alignment vertical="center"/>
    </xf>
    <xf numFmtId="14" fontId="12" fillId="14" borderId="18" xfId="14" applyNumberFormat="1" applyFont="1" applyFill="1" applyBorder="1" applyAlignment="1">
      <alignment vertical="center"/>
    </xf>
    <xf numFmtId="5" fontId="12" fillId="14" borderId="18" xfId="14" applyNumberFormat="1" applyFont="1" applyFill="1" applyBorder="1" applyAlignment="1">
      <alignment vertical="center"/>
    </xf>
    <xf numFmtId="43" fontId="12" fillId="14" borderId="0" xfId="1" applyFont="1" applyFill="1" applyBorder="1" applyAlignment="1">
      <alignment horizontal="right" vertical="center"/>
    </xf>
    <xf numFmtId="43" fontId="12" fillId="14" borderId="9" xfId="1" applyFont="1" applyFill="1" applyBorder="1" applyAlignment="1">
      <alignment horizontal="center" vertical="center"/>
    </xf>
    <xf numFmtId="0" fontId="0" fillId="14" borderId="15" xfId="0" applyFill="1" applyBorder="1" applyAlignment="1">
      <alignment vertical="center"/>
    </xf>
    <xf numFmtId="0" fontId="0" fillId="14" borderId="0" xfId="0" applyFill="1" applyAlignment="1">
      <alignment vertical="center"/>
    </xf>
    <xf numFmtId="0" fontId="0" fillId="14" borderId="13" xfId="0" applyFill="1" applyBorder="1" applyAlignment="1">
      <alignment vertical="center"/>
    </xf>
    <xf numFmtId="167" fontId="0" fillId="14" borderId="0" xfId="0" applyNumberFormat="1" applyFill="1" applyAlignment="1">
      <alignment vertical="center"/>
    </xf>
    <xf numFmtId="167" fontId="0" fillId="14" borderId="9" xfId="0" applyNumberFormat="1" applyFill="1" applyBorder="1" applyAlignment="1">
      <alignment vertical="center"/>
    </xf>
    <xf numFmtId="14" fontId="0" fillId="14" borderId="0" xfId="0" applyNumberFormat="1" applyFill="1" applyAlignment="1">
      <alignment vertical="center"/>
    </xf>
    <xf numFmtId="0" fontId="17" fillId="15" borderId="13" xfId="0" applyFont="1" applyFill="1" applyBorder="1" applyAlignment="1">
      <alignment horizontal="center" vertical="center" wrapText="1"/>
    </xf>
    <xf numFmtId="0" fontId="17" fillId="15" borderId="9" xfId="0" applyFont="1" applyFill="1" applyBorder="1" applyAlignment="1">
      <alignment horizontal="center" vertical="center" wrapText="1"/>
    </xf>
    <xf numFmtId="0" fontId="17" fillId="15" borderId="14" xfId="0" applyFont="1" applyFill="1" applyBorder="1" applyAlignment="1">
      <alignment horizontal="center" vertical="center" wrapText="1"/>
    </xf>
    <xf numFmtId="0" fontId="35" fillId="0" borderId="0" xfId="0" applyFont="1" applyAlignment="1">
      <alignment horizontal="left" vertical="center"/>
    </xf>
    <xf numFmtId="0" fontId="53" fillId="0" borderId="0" xfId="0" applyFont="1" applyAlignment="1">
      <alignment vertical="center" wrapText="1"/>
    </xf>
    <xf numFmtId="14" fontId="35" fillId="0" borderId="0" xfId="0" applyNumberFormat="1" applyFont="1" applyAlignment="1">
      <alignment vertical="center" wrapText="1"/>
    </xf>
    <xf numFmtId="14" fontId="53" fillId="0" borderId="0" xfId="0" applyNumberFormat="1" applyFont="1" applyAlignment="1">
      <alignment vertical="center" wrapText="1"/>
    </xf>
    <xf numFmtId="167" fontId="14" fillId="0" borderId="16" xfId="1" applyNumberFormat="1" applyFont="1" applyFill="1" applyBorder="1" applyAlignment="1">
      <alignment horizontal="right" vertical="center"/>
    </xf>
    <xf numFmtId="167" fontId="14" fillId="0" borderId="16" xfId="12" applyNumberFormat="1" applyFont="1" applyFill="1" applyBorder="1" applyAlignment="1">
      <alignment horizontal="right" vertical="center"/>
    </xf>
    <xf numFmtId="167" fontId="14" fillId="0" borderId="16" xfId="14" applyNumberFormat="1" applyFont="1" applyBorder="1" applyAlignment="1">
      <alignment horizontal="right" vertical="center"/>
    </xf>
    <xf numFmtId="167" fontId="14" fillId="0" borderId="16" xfId="11" applyNumberFormat="1" applyFont="1" applyBorder="1" applyAlignment="1" applyProtection="1">
      <alignment horizontal="right" vertical="center"/>
    </xf>
    <xf numFmtId="167" fontId="14" fillId="0" borderId="16" xfId="5" applyNumberFormat="1" applyFont="1" applyBorder="1" applyAlignment="1" applyProtection="1">
      <alignment horizontal="right" vertical="center"/>
    </xf>
    <xf numFmtId="167" fontId="14" fillId="0" borderId="16" xfId="1" applyNumberFormat="1" applyFont="1" applyFill="1" applyBorder="1" applyAlignment="1" applyProtection="1">
      <alignment horizontal="right" vertical="center"/>
    </xf>
    <xf numFmtId="9" fontId="14" fillId="0" borderId="20" xfId="22" applyFont="1" applyFill="1" applyBorder="1" applyAlignment="1">
      <alignment horizontal="right" vertical="center"/>
    </xf>
    <xf numFmtId="5" fontId="32" fillId="11" borderId="34" xfId="14" applyNumberFormat="1" applyFont="1" applyFill="1" applyBorder="1" applyAlignment="1">
      <alignment vertical="center" wrapText="1"/>
    </xf>
    <xf numFmtId="5" fontId="32" fillId="11" borderId="2" xfId="14" applyNumberFormat="1" applyFont="1" applyFill="1" applyBorder="1" applyAlignment="1">
      <alignment vertical="center" wrapText="1"/>
    </xf>
    <xf numFmtId="5" fontId="32" fillId="11" borderId="35" xfId="14" applyNumberFormat="1" applyFont="1" applyFill="1" applyBorder="1" applyAlignment="1">
      <alignment vertical="center" wrapText="1"/>
    </xf>
    <xf numFmtId="167" fontId="12" fillId="6" borderId="0" xfId="14" applyNumberFormat="1" applyFont="1" applyFill="1" applyAlignment="1">
      <alignment vertical="center"/>
    </xf>
    <xf numFmtId="167" fontId="12" fillId="6" borderId="18" xfId="14" applyNumberFormat="1" applyFont="1" applyFill="1" applyBorder="1" applyAlignment="1">
      <alignment vertical="center"/>
    </xf>
    <xf numFmtId="2" fontId="0" fillId="6" borderId="0" xfId="0" applyNumberFormat="1" applyFill="1" applyAlignment="1">
      <alignment horizontal="center" vertical="center"/>
    </xf>
    <xf numFmtId="2" fontId="0" fillId="6" borderId="0" xfId="1" applyNumberFormat="1" applyFont="1" applyFill="1" applyBorder="1" applyAlignment="1">
      <alignment horizontal="center" vertical="center"/>
    </xf>
    <xf numFmtId="2" fontId="11" fillId="11" borderId="9" xfId="0" applyNumberFormat="1" applyFont="1" applyFill="1" applyBorder="1" applyAlignment="1">
      <alignment horizontal="center" vertical="center" wrapText="1"/>
    </xf>
    <xf numFmtId="2" fontId="0" fillId="6" borderId="0" xfId="0" applyNumberFormat="1" applyFill="1" applyAlignment="1">
      <alignment vertical="center"/>
    </xf>
    <xf numFmtId="2" fontId="0" fillId="6" borderId="18" xfId="0" applyNumberFormat="1" applyFill="1" applyBorder="1" applyAlignment="1">
      <alignment vertical="center"/>
    </xf>
    <xf numFmtId="2" fontId="0" fillId="0" borderId="0" xfId="0" applyNumberFormat="1" applyAlignment="1">
      <alignment vertical="center"/>
    </xf>
    <xf numFmtId="7" fontId="12" fillId="6" borderId="0" xfId="5" applyNumberFormat="1" applyFont="1" applyFill="1" applyAlignment="1">
      <alignment horizontal="right" vertical="center"/>
      <protection locked="0"/>
    </xf>
    <xf numFmtId="7" fontId="12" fillId="6" borderId="9" xfId="5" applyNumberFormat="1" applyFont="1" applyFill="1" applyBorder="1" applyAlignment="1">
      <alignment vertical="center"/>
      <protection locked="0"/>
    </xf>
    <xf numFmtId="14" fontId="0" fillId="14" borderId="25" xfId="0" applyNumberFormat="1" applyFill="1" applyBorder="1" applyAlignment="1">
      <alignment horizontal="center" vertical="center" wrapText="1"/>
    </xf>
    <xf numFmtId="0" fontId="11" fillId="11" borderId="10" xfId="0" applyFont="1" applyFill="1" applyBorder="1" applyAlignment="1">
      <alignment horizontal="right" vertical="center"/>
    </xf>
    <xf numFmtId="0" fontId="11" fillId="11" borderId="9" xfId="0" applyFont="1" applyFill="1" applyBorder="1" applyAlignment="1">
      <alignment horizontal="right" vertical="center"/>
    </xf>
    <xf numFmtId="0" fontId="11" fillId="11" borderId="7" xfId="0" applyFont="1" applyFill="1" applyBorder="1" applyAlignment="1">
      <alignment vertical="center" wrapText="1"/>
    </xf>
    <xf numFmtId="0" fontId="14" fillId="0" borderId="0" xfId="0" applyFont="1" applyAlignment="1">
      <alignment vertical="center"/>
    </xf>
    <xf numFmtId="0" fontId="0" fillId="0" borderId="21" xfId="0" applyBorder="1" applyAlignment="1">
      <alignment horizontal="left"/>
    </xf>
    <xf numFmtId="0" fontId="0" fillId="0" borderId="22" xfId="0" applyBorder="1"/>
    <xf numFmtId="0" fontId="0" fillId="0" borderId="23" xfId="0" applyBorder="1"/>
    <xf numFmtId="9" fontId="12" fillId="0" borderId="18" xfId="22" applyFont="1" applyBorder="1" applyAlignment="1">
      <alignment horizontal="right"/>
    </xf>
    <xf numFmtId="9" fontId="12" fillId="0" borderId="20" xfId="22" applyFont="1" applyBorder="1" applyAlignment="1">
      <alignment horizontal="right"/>
    </xf>
    <xf numFmtId="172" fontId="0" fillId="0" borderId="13" xfId="1" applyNumberFormat="1" applyFont="1" applyBorder="1" applyAlignment="1">
      <alignment vertical="center"/>
    </xf>
    <xf numFmtId="0" fontId="49" fillId="13" borderId="0" xfId="30" applyFont="1" applyBorder="1" applyAlignment="1">
      <alignment horizontal="left" wrapText="1"/>
    </xf>
    <xf numFmtId="0" fontId="50" fillId="7" borderId="21" xfId="31" applyFont="1" applyFill="1" applyBorder="1"/>
    <xf numFmtId="0" fontId="50" fillId="7" borderId="22" xfId="31" applyFont="1" applyFill="1" applyBorder="1"/>
    <xf numFmtId="0" fontId="45" fillId="7" borderId="21" xfId="0" quotePrefix="1" applyFont="1" applyFill="1" applyBorder="1" applyAlignment="1">
      <alignment horizontal="center"/>
    </xf>
    <xf numFmtId="0" fontId="45" fillId="7" borderId="22" xfId="0" quotePrefix="1" applyFont="1" applyFill="1" applyBorder="1" applyAlignment="1">
      <alignment horizontal="center"/>
    </xf>
    <xf numFmtId="0" fontId="45" fillId="7" borderId="23" xfId="0" quotePrefix="1" applyFont="1" applyFill="1" applyBorder="1" applyAlignment="1">
      <alignment horizontal="center"/>
    </xf>
    <xf numFmtId="0" fontId="44" fillId="0" borderId="0" xfId="31" applyFont="1" applyAlignment="1">
      <alignment horizontal="right"/>
    </xf>
    <xf numFmtId="0" fontId="44" fillId="0" borderId="0" xfId="31" applyFont="1"/>
    <xf numFmtId="0" fontId="47" fillId="0" borderId="0" xfId="31" applyFont="1" applyAlignment="1">
      <alignment vertical="top" wrapText="1"/>
    </xf>
    <xf numFmtId="0" fontId="47" fillId="0" borderId="0" xfId="31" applyFont="1" applyAlignment="1">
      <alignment horizontal="left" vertical="top" wrapText="1"/>
    </xf>
    <xf numFmtId="5" fontId="36" fillId="7" borderId="22" xfId="14" applyNumberFormat="1" applyFont="1" applyFill="1" applyBorder="1" applyAlignment="1">
      <alignment horizontal="center" wrapText="1"/>
    </xf>
    <xf numFmtId="5" fontId="37" fillId="7" borderId="21" xfId="14" applyNumberFormat="1" applyFont="1" applyFill="1" applyBorder="1" applyAlignment="1">
      <alignment horizontal="center" wrapText="1"/>
    </xf>
    <xf numFmtId="5" fontId="37" fillId="7" borderId="22" xfId="14" applyNumberFormat="1" applyFont="1" applyFill="1" applyBorder="1" applyAlignment="1">
      <alignment horizontal="center" wrapText="1"/>
    </xf>
    <xf numFmtId="5" fontId="37" fillId="7" borderId="23" xfId="14" applyNumberFormat="1" applyFont="1" applyFill="1" applyBorder="1" applyAlignment="1">
      <alignment horizontal="center" wrapText="1"/>
    </xf>
    <xf numFmtId="38" fontId="21" fillId="6" borderId="0" xfId="7" applyFont="1" applyFill="1" applyAlignment="1" applyProtection="1">
      <alignment horizontal="center"/>
    </xf>
    <xf numFmtId="38" fontId="21" fillId="6" borderId="16" xfId="7" applyFont="1" applyFill="1" applyBorder="1" applyAlignment="1" applyProtection="1">
      <alignment horizontal="center"/>
    </xf>
    <xf numFmtId="0" fontId="13" fillId="6" borderId="0" xfId="0" applyFont="1" applyFill="1" applyAlignment="1">
      <alignment horizontal="center"/>
    </xf>
    <xf numFmtId="0" fontId="13" fillId="6" borderId="16" xfId="0" applyFont="1" applyFill="1" applyBorder="1" applyAlignment="1">
      <alignment horizontal="center"/>
    </xf>
    <xf numFmtId="0" fontId="0" fillId="6" borderId="0" xfId="0" applyFill="1" applyAlignment="1">
      <alignment horizontal="center"/>
    </xf>
    <xf numFmtId="5" fontId="12" fillId="6" borderId="2" xfId="14" applyNumberFormat="1" applyFont="1" applyFill="1" applyBorder="1" applyAlignment="1">
      <alignment horizontal="center"/>
    </xf>
    <xf numFmtId="38" fontId="26" fillId="7" borderId="2" xfId="7" applyFont="1" applyFill="1" applyBorder="1" applyAlignment="1" applyProtection="1">
      <alignment horizontal="center"/>
    </xf>
    <xf numFmtId="38" fontId="26" fillId="7" borderId="35" xfId="7" applyFont="1" applyFill="1" applyBorder="1" applyAlignment="1" applyProtection="1">
      <alignment horizontal="center"/>
    </xf>
    <xf numFmtId="38" fontId="12" fillId="6" borderId="0" xfId="7" applyFont="1" applyFill="1" applyAlignment="1" applyProtection="1">
      <alignment horizontal="center"/>
    </xf>
    <xf numFmtId="38" fontId="12" fillId="6" borderId="16" xfId="7" applyFont="1" applyFill="1" applyBorder="1" applyAlignment="1" applyProtection="1">
      <alignment horizontal="center"/>
    </xf>
    <xf numFmtId="0" fontId="19" fillId="6" borderId="0" xfId="0" applyFont="1" applyFill="1" applyAlignment="1">
      <alignment horizontal="right" vertical="top"/>
    </xf>
    <xf numFmtId="0" fontId="0" fillId="6" borderId="13" xfId="0" applyFill="1" applyBorder="1" applyAlignment="1">
      <alignment horizontal="center"/>
    </xf>
    <xf numFmtId="0" fontId="0" fillId="6" borderId="9" xfId="0" applyFill="1" applyBorder="1" applyAlignment="1">
      <alignment horizontal="center"/>
    </xf>
    <xf numFmtId="0" fontId="0" fillId="6" borderId="14" xfId="0" applyFill="1" applyBorder="1" applyAlignment="1">
      <alignment horizontal="center"/>
    </xf>
    <xf numFmtId="38" fontId="21" fillId="6" borderId="9" xfId="7" applyFont="1" applyFill="1" applyBorder="1" applyAlignment="1" applyProtection="1">
      <alignment horizontal="center"/>
    </xf>
    <xf numFmtId="38" fontId="21" fillId="6" borderId="14" xfId="7" applyFont="1" applyFill="1" applyBorder="1" applyAlignment="1" applyProtection="1">
      <alignment horizontal="center"/>
    </xf>
    <xf numFmtId="38" fontId="21" fillId="6" borderId="18" xfId="7" applyFont="1" applyFill="1" applyBorder="1" applyAlignment="1" applyProtection="1">
      <alignment horizontal="center"/>
    </xf>
    <xf numFmtId="38" fontId="21" fillId="6" borderId="20" xfId="7" applyFont="1" applyFill="1" applyBorder="1" applyAlignment="1" applyProtection="1">
      <alignment horizontal="center"/>
    </xf>
    <xf numFmtId="38" fontId="21" fillId="6" borderId="4" xfId="7" applyFont="1" applyFill="1" applyBorder="1" applyAlignment="1" applyProtection="1">
      <alignment horizontal="center"/>
    </xf>
    <xf numFmtId="38" fontId="21" fillId="6" borderId="29" xfId="7" applyFont="1" applyFill="1" applyBorder="1" applyAlignment="1" applyProtection="1">
      <alignment horizontal="center"/>
    </xf>
    <xf numFmtId="0" fontId="41" fillId="7" borderId="0" xfId="0" applyFont="1" applyFill="1" applyAlignment="1">
      <alignment horizontal="center"/>
    </xf>
    <xf numFmtId="0" fontId="26" fillId="7" borderId="30" xfId="0" applyFont="1" applyFill="1" applyBorder="1"/>
    <xf numFmtId="0" fontId="26" fillId="7" borderId="32" xfId="0" applyFont="1" applyFill="1" applyBorder="1"/>
    <xf numFmtId="0" fontId="26" fillId="7" borderId="33" xfId="0" applyFont="1" applyFill="1" applyBorder="1"/>
    <xf numFmtId="5" fontId="26" fillId="7" borderId="37" xfId="14" applyNumberFormat="1" applyFont="1" applyFill="1" applyBorder="1" applyAlignment="1">
      <alignment horizontal="left"/>
    </xf>
    <xf numFmtId="5" fontId="26" fillId="7" borderId="13" xfId="14" applyNumberFormat="1" applyFont="1" applyFill="1" applyBorder="1" applyAlignment="1">
      <alignment horizontal="left"/>
    </xf>
    <xf numFmtId="5" fontId="36" fillId="7" borderId="4" xfId="14" applyNumberFormat="1" applyFont="1" applyFill="1" applyBorder="1" applyAlignment="1">
      <alignment horizontal="center"/>
    </xf>
    <xf numFmtId="5" fontId="36" fillId="7" borderId="9" xfId="14" applyNumberFormat="1" applyFont="1" applyFill="1" applyBorder="1" applyAlignment="1">
      <alignment horizontal="center"/>
    </xf>
    <xf numFmtId="7" fontId="36" fillId="7" borderId="4" xfId="14" applyNumberFormat="1" applyFont="1" applyFill="1" applyBorder="1" applyAlignment="1">
      <alignment horizontal="center" wrapText="1"/>
    </xf>
    <xf numFmtId="7" fontId="36" fillId="7" borderId="9" xfId="14" applyNumberFormat="1" applyFont="1" applyFill="1" applyBorder="1" applyAlignment="1">
      <alignment horizontal="center" wrapText="1"/>
    </xf>
    <xf numFmtId="3" fontId="36" fillId="7" borderId="4" xfId="14" applyNumberFormat="1" applyFont="1" applyFill="1" applyBorder="1" applyAlignment="1">
      <alignment horizontal="center" wrapText="1"/>
    </xf>
    <xf numFmtId="3" fontId="36" fillId="7" borderId="9" xfId="14" applyNumberFormat="1" applyFont="1" applyFill="1" applyBorder="1" applyAlignment="1">
      <alignment horizontal="center" wrapText="1"/>
    </xf>
    <xf numFmtId="5" fontId="36" fillId="7" borderId="29" xfId="14" applyNumberFormat="1" applyFont="1" applyFill="1" applyBorder="1" applyAlignment="1">
      <alignment horizontal="center" wrapText="1"/>
    </xf>
    <xf numFmtId="5" fontId="36" fillId="7" borderId="14" xfId="14" applyNumberFormat="1" applyFont="1" applyFill="1" applyBorder="1" applyAlignment="1">
      <alignment horizontal="center" wrapText="1"/>
    </xf>
    <xf numFmtId="0" fontId="13" fillId="6" borderId="4" xfId="0" applyFont="1" applyFill="1" applyBorder="1" applyAlignment="1">
      <alignment horizontal="center"/>
    </xf>
    <xf numFmtId="0" fontId="13" fillId="6" borderId="29" xfId="0" applyFont="1" applyFill="1" applyBorder="1" applyAlignment="1">
      <alignment horizontal="center"/>
    </xf>
    <xf numFmtId="0" fontId="13" fillId="6" borderId="0" xfId="0" applyFont="1" applyFill="1" applyAlignment="1">
      <alignment horizontal="right"/>
    </xf>
    <xf numFmtId="0" fontId="31" fillId="0" borderId="0" xfId="13" applyFont="1" applyAlignment="1">
      <alignment horizontal="center" vertical="center"/>
    </xf>
    <xf numFmtId="0" fontId="27" fillId="7" borderId="8" xfId="0" applyFont="1" applyFill="1" applyBorder="1" applyAlignment="1">
      <alignment horizontal="center" vertical="center"/>
    </xf>
    <xf numFmtId="0" fontId="27" fillId="7" borderId="2" xfId="0" applyFont="1" applyFill="1" applyBorder="1" applyAlignment="1">
      <alignment horizontal="center" vertical="center"/>
    </xf>
    <xf numFmtId="0" fontId="27" fillId="7" borderId="12" xfId="0" applyFont="1" applyFill="1" applyBorder="1" applyAlignment="1">
      <alignment horizontal="center" vertical="center"/>
    </xf>
    <xf numFmtId="0" fontId="27" fillId="7" borderId="36" xfId="0" applyFont="1" applyFill="1" applyBorder="1" applyAlignment="1">
      <alignment horizontal="center" vertical="center"/>
    </xf>
    <xf numFmtId="0" fontId="27" fillId="7" borderId="27" xfId="0" applyFont="1" applyFill="1" applyBorder="1" applyAlignment="1">
      <alignment horizontal="center" vertical="center"/>
    </xf>
    <xf numFmtId="0" fontId="27" fillId="7" borderId="28" xfId="0" applyFont="1" applyFill="1" applyBorder="1" applyAlignment="1">
      <alignment horizontal="center" vertical="center"/>
    </xf>
    <xf numFmtId="0" fontId="37" fillId="7" borderId="3" xfId="0" applyFont="1" applyFill="1" applyBorder="1" applyAlignment="1">
      <alignment horizontal="center" vertical="center"/>
    </xf>
    <xf numFmtId="0" fontId="37" fillId="7" borderId="4" xfId="0" applyFont="1" applyFill="1" applyBorder="1" applyAlignment="1">
      <alignment horizontal="center" vertical="center"/>
    </xf>
    <xf numFmtId="0" fontId="37" fillId="7" borderId="11" xfId="0" applyFont="1" applyFill="1" applyBorder="1" applyAlignment="1">
      <alignment horizontal="center" vertical="center"/>
    </xf>
    <xf numFmtId="0" fontId="26" fillId="7" borderId="36" xfId="0" applyFont="1" applyFill="1" applyBorder="1" applyAlignment="1">
      <alignment horizontal="center" vertical="center"/>
    </xf>
    <xf numFmtId="0" fontId="26" fillId="7" borderId="27" xfId="0" applyFont="1" applyFill="1" applyBorder="1" applyAlignment="1">
      <alignment horizontal="center" vertical="center"/>
    </xf>
    <xf numFmtId="0" fontId="26" fillId="7" borderId="28" xfId="0" applyFont="1" applyFill="1" applyBorder="1" applyAlignment="1">
      <alignment horizontal="center" vertical="center"/>
    </xf>
    <xf numFmtId="0" fontId="31" fillId="0" borderId="15" xfId="13" applyFont="1" applyFill="1" applyBorder="1" applyAlignment="1">
      <alignment horizontal="center" vertical="center"/>
    </xf>
    <xf numFmtId="0" fontId="27" fillId="7" borderId="15" xfId="0" applyFont="1" applyFill="1" applyBorder="1" applyAlignment="1">
      <alignment horizontal="center" vertical="center"/>
    </xf>
    <xf numFmtId="0" fontId="27" fillId="7" borderId="0" xfId="0" applyFont="1" applyFill="1" applyAlignment="1">
      <alignment horizontal="center" vertical="center"/>
    </xf>
    <xf numFmtId="0" fontId="27" fillId="7" borderId="21" xfId="0" applyFont="1" applyFill="1" applyBorder="1" applyAlignment="1">
      <alignment horizontal="center" vertical="center"/>
    </xf>
    <xf numFmtId="0" fontId="27" fillId="7" borderId="22" xfId="0" applyFont="1" applyFill="1" applyBorder="1" applyAlignment="1">
      <alignment horizontal="center" vertical="center"/>
    </xf>
    <xf numFmtId="0" fontId="27" fillId="7" borderId="23" xfId="0" applyFont="1" applyFill="1" applyBorder="1" applyAlignment="1">
      <alignment horizontal="center" vertical="center"/>
    </xf>
    <xf numFmtId="0" fontId="42" fillId="6" borderId="5" xfId="13" applyFont="1" applyFill="1" applyBorder="1" applyAlignment="1">
      <alignment horizontal="center" vertical="center" wrapText="1"/>
    </xf>
    <xf numFmtId="0" fontId="42" fillId="6" borderId="0" xfId="13" applyFont="1" applyFill="1" applyBorder="1" applyAlignment="1">
      <alignment horizontal="center" vertical="center" wrapText="1"/>
    </xf>
    <xf numFmtId="0" fontId="42" fillId="6" borderId="6" xfId="13" applyFont="1" applyFill="1" applyBorder="1" applyAlignment="1">
      <alignment horizontal="center" vertical="center" wrapText="1"/>
    </xf>
    <xf numFmtId="0" fontId="11" fillId="11" borderId="21" xfId="0" applyFont="1" applyFill="1" applyBorder="1" applyAlignment="1">
      <alignment horizontal="center" vertical="center" wrapText="1"/>
    </xf>
    <xf numFmtId="0" fontId="11" fillId="11" borderId="22" xfId="0" applyFont="1" applyFill="1" applyBorder="1" applyAlignment="1">
      <alignment horizontal="center" vertical="center" wrapText="1"/>
    </xf>
    <xf numFmtId="0" fontId="11" fillId="11" borderId="26" xfId="0" applyFont="1" applyFill="1" applyBorder="1" applyAlignment="1">
      <alignment horizontal="center" vertical="center" wrapText="1"/>
    </xf>
    <xf numFmtId="14" fontId="0" fillId="14" borderId="25" xfId="0" applyNumberFormat="1" applyFill="1" applyBorder="1" applyAlignment="1">
      <alignment horizontal="center" vertical="center" wrapText="1"/>
    </xf>
    <xf numFmtId="14" fontId="0" fillId="14" borderId="22" xfId="0" applyNumberFormat="1" applyFill="1" applyBorder="1" applyAlignment="1">
      <alignment horizontal="center" vertical="center" wrapText="1"/>
    </xf>
    <xf numFmtId="14" fontId="0" fillId="14" borderId="26" xfId="0" applyNumberFormat="1" applyFill="1" applyBorder="1" applyAlignment="1">
      <alignment horizontal="center" vertical="center" wrapText="1"/>
    </xf>
    <xf numFmtId="14" fontId="11" fillId="11" borderId="25" xfId="0" applyNumberFormat="1" applyFont="1" applyFill="1" applyBorder="1" applyAlignment="1">
      <alignment horizontal="center" vertical="center" wrapText="1"/>
    </xf>
    <xf numFmtId="14" fontId="11" fillId="11" borderId="22" xfId="0" applyNumberFormat="1" applyFont="1" applyFill="1" applyBorder="1" applyAlignment="1">
      <alignment horizontal="center" vertical="center" wrapText="1"/>
    </xf>
    <xf numFmtId="14" fontId="11" fillId="11" borderId="23" xfId="0" applyNumberFormat="1" applyFont="1" applyFill="1" applyBorder="1" applyAlignment="1">
      <alignment horizontal="center" vertical="center" wrapText="1"/>
    </xf>
    <xf numFmtId="0" fontId="27" fillId="7" borderId="30" xfId="0" applyFont="1" applyFill="1" applyBorder="1" applyAlignment="1">
      <alignment horizontal="center" vertical="center"/>
    </xf>
    <xf numFmtId="0" fontId="27" fillId="7" borderId="32" xfId="0" applyFont="1" applyFill="1" applyBorder="1" applyAlignment="1">
      <alignment horizontal="center" vertical="center"/>
    </xf>
    <xf numFmtId="0" fontId="27" fillId="7" borderId="33" xfId="0" applyFont="1" applyFill="1" applyBorder="1" applyAlignment="1">
      <alignment horizontal="center" vertical="center"/>
    </xf>
    <xf numFmtId="0" fontId="37" fillId="7" borderId="0" xfId="0" applyFont="1" applyFill="1" applyAlignment="1">
      <alignment horizontal="center" vertical="center"/>
    </xf>
    <xf numFmtId="0" fontId="42" fillId="6" borderId="5" xfId="13" applyFont="1" applyFill="1" applyBorder="1" applyAlignment="1">
      <alignment horizontal="center" vertical="center"/>
    </xf>
    <xf numFmtId="0" fontId="42" fillId="6" borderId="0" xfId="13" applyFont="1" applyFill="1" applyBorder="1" applyAlignment="1">
      <alignment horizontal="center" vertical="center"/>
    </xf>
    <xf numFmtId="0" fontId="42" fillId="6" borderId="6" xfId="13" applyFont="1" applyFill="1" applyBorder="1" applyAlignment="1">
      <alignment horizontal="center" vertical="center"/>
    </xf>
    <xf numFmtId="5" fontId="40" fillId="11" borderId="36" xfId="14" applyNumberFormat="1" applyFont="1" applyFill="1" applyBorder="1" applyAlignment="1">
      <alignment horizontal="center" vertical="center"/>
    </xf>
    <xf numFmtId="5" fontId="40" fillId="11" borderId="27" xfId="14" applyNumberFormat="1" applyFont="1" applyFill="1" applyBorder="1" applyAlignment="1">
      <alignment horizontal="center" vertical="center"/>
    </xf>
    <xf numFmtId="5" fontId="40" fillId="11" borderId="28" xfId="14" applyNumberFormat="1" applyFont="1" applyFill="1" applyBorder="1" applyAlignment="1">
      <alignment horizontal="center" vertical="center"/>
    </xf>
    <xf numFmtId="0" fontId="11" fillId="11" borderId="34" xfId="0" applyFont="1" applyFill="1" applyBorder="1" applyAlignment="1">
      <alignment horizontal="center" vertical="center"/>
    </xf>
    <xf numFmtId="0" fontId="11" fillId="11" borderId="2" xfId="0" applyFont="1" applyFill="1" applyBorder="1" applyAlignment="1">
      <alignment horizontal="center" vertical="center"/>
    </xf>
    <xf numFmtId="0" fontId="11" fillId="11" borderId="35" xfId="0" applyFont="1" applyFill="1" applyBorder="1" applyAlignment="1">
      <alignment horizontal="center" vertical="center"/>
    </xf>
    <xf numFmtId="0" fontId="29" fillId="7" borderId="0" xfId="0" applyFont="1" applyFill="1" applyAlignment="1">
      <alignment horizontal="right" vertical="center"/>
    </xf>
    <xf numFmtId="0" fontId="24" fillId="7" borderId="2" xfId="0" applyFont="1" applyFill="1" applyBorder="1" applyAlignment="1">
      <alignment horizontal="right" vertical="center"/>
    </xf>
    <xf numFmtId="0" fontId="11" fillId="0" borderId="15" xfId="0" applyFont="1" applyBorder="1" applyAlignment="1">
      <alignment horizontal="left" vertical="center" wrapText="1"/>
    </xf>
    <xf numFmtId="0" fontId="15" fillId="0" borderId="2" xfId="0" applyFont="1" applyBorder="1" applyAlignment="1">
      <alignment horizontal="right" vertical="center"/>
    </xf>
    <xf numFmtId="0" fontId="15" fillId="0" borderId="38" xfId="0" applyFont="1" applyBorder="1" applyAlignment="1">
      <alignment horizontal="right" vertical="center"/>
    </xf>
    <xf numFmtId="0" fontId="11" fillId="11" borderId="21" xfId="0" applyFont="1" applyFill="1" applyBorder="1" applyAlignment="1">
      <alignment horizontal="center" vertical="center"/>
    </xf>
    <xf numFmtId="0" fontId="11" fillId="11" borderId="22" xfId="0" applyFont="1" applyFill="1" applyBorder="1" applyAlignment="1">
      <alignment horizontal="center" vertical="center"/>
    </xf>
    <xf numFmtId="0" fontId="17" fillId="7" borderId="8" xfId="0" applyFont="1" applyFill="1" applyBorder="1" applyAlignment="1">
      <alignment horizontal="center" vertical="center"/>
    </xf>
    <xf numFmtId="0" fontId="17" fillId="7" borderId="2" xfId="0" applyFont="1" applyFill="1" applyBorder="1" applyAlignment="1">
      <alignment horizontal="center" vertical="center"/>
    </xf>
    <xf numFmtId="0" fontId="17" fillId="7" borderId="12" xfId="0" applyFont="1" applyFill="1" applyBorder="1" applyAlignment="1">
      <alignment horizontal="center" vertical="center"/>
    </xf>
    <xf numFmtId="0" fontId="30" fillId="7" borderId="4" xfId="0" applyFont="1" applyFill="1" applyBorder="1" applyAlignment="1">
      <alignment horizontal="center" vertical="center"/>
    </xf>
    <xf numFmtId="0" fontId="0" fillId="0" borderId="0" xfId="0" applyAlignment="1">
      <alignment horizontal="left"/>
    </xf>
    <xf numFmtId="0" fontId="0" fillId="0" borderId="9" xfId="0" applyBorder="1" applyAlignment="1">
      <alignment horizontal="left"/>
    </xf>
    <xf numFmtId="0" fontId="11" fillId="0" borderId="36" xfId="0" applyFont="1" applyBorder="1" applyAlignment="1">
      <alignment horizontal="center"/>
    </xf>
    <xf numFmtId="0" fontId="11" fillId="0" borderId="27" xfId="0" applyFont="1" applyBorder="1" applyAlignment="1">
      <alignment horizontal="center"/>
    </xf>
    <xf numFmtId="0" fontId="11" fillId="0" borderId="28" xfId="0" applyFont="1" applyBorder="1" applyAlignment="1">
      <alignment horizontal="center"/>
    </xf>
    <xf numFmtId="0" fontId="31" fillId="0" borderId="0" xfId="13" applyFont="1" applyFill="1" applyBorder="1" applyAlignment="1">
      <alignment horizontal="center" vertical="center"/>
    </xf>
    <xf numFmtId="0" fontId="27" fillId="7" borderId="36" xfId="0" applyFont="1" applyFill="1" applyBorder="1" applyAlignment="1">
      <alignment horizontal="center" vertical="top"/>
    </xf>
    <xf numFmtId="0" fontId="27" fillId="7" borderId="27" xfId="0" applyFont="1" applyFill="1" applyBorder="1" applyAlignment="1">
      <alignment horizontal="center" vertical="top"/>
    </xf>
    <xf numFmtId="0" fontId="27" fillId="7" borderId="28" xfId="0" applyFont="1" applyFill="1" applyBorder="1" applyAlignment="1">
      <alignment horizontal="center" vertical="top"/>
    </xf>
    <xf numFmtId="0" fontId="0" fillId="0" borderId="0" xfId="0" applyAlignment="1">
      <alignment horizontal="center"/>
    </xf>
  </cellXfs>
  <cellStyles count="32">
    <cellStyle name="20% - Accent4" xfId="28" builtinId="42"/>
    <cellStyle name="40% - Accent5" xfId="29" builtinId="47"/>
    <cellStyle name="Comma" xfId="1" builtinId="3"/>
    <cellStyle name="Curr ($1,234) L Black" xfId="2" xr:uid="{00000000-0005-0000-0000-000001000000}"/>
    <cellStyle name="Curr ($1,234) U Blue" xfId="3" xr:uid="{00000000-0005-0000-0000-000002000000}"/>
    <cellStyle name="Curr ($1,234.00) L Black" xfId="4" xr:uid="{00000000-0005-0000-0000-000003000000}"/>
    <cellStyle name="Curr ($1,234.00) U Blue" xfId="5" xr:uid="{00000000-0005-0000-0000-000004000000}"/>
    <cellStyle name="Curr (1,234) L Black" xfId="6" xr:uid="{00000000-0005-0000-0000-000005000000}"/>
    <cellStyle name="Curr (1,234) U Blue" xfId="7" xr:uid="{00000000-0005-0000-0000-000006000000}"/>
    <cellStyle name="Curr (1,234.0) L Black" xfId="8" xr:uid="{00000000-0005-0000-0000-000007000000}"/>
    <cellStyle name="Curr (1,234.0) U Blue" xfId="9" xr:uid="{00000000-0005-0000-0000-000008000000}"/>
    <cellStyle name="Curr (1,234.00) L Black" xfId="10" xr:uid="{00000000-0005-0000-0000-000009000000}"/>
    <cellStyle name="Curr (1,234.00) U Blue" xfId="11" xr:uid="{00000000-0005-0000-0000-00000A000000}"/>
    <cellStyle name="Currency" xfId="12" builtinId="4"/>
    <cellStyle name="Hyperlink" xfId="13" builtinId="8"/>
    <cellStyle name="Normal" xfId="0" builtinId="0"/>
    <cellStyle name="Normal 2" xfId="14" xr:uid="{00000000-0005-0000-0000-00000E000000}"/>
    <cellStyle name="Normal 2 2" xfId="31" xr:uid="{0DEF6413-B4F3-4A58-858C-1504E9E097D9}"/>
    <cellStyle name="Normal 3" xfId="15" xr:uid="{00000000-0005-0000-0000-00000F000000}"/>
    <cellStyle name="Num (1,234) L Black" xfId="16" xr:uid="{00000000-0005-0000-0000-000010000000}"/>
    <cellStyle name="Num (1,234) U Blue" xfId="17" xr:uid="{00000000-0005-0000-0000-000011000000}"/>
    <cellStyle name="Num (1,234.0) L Black" xfId="18" xr:uid="{00000000-0005-0000-0000-000012000000}"/>
    <cellStyle name="Num (1,234.0) U Blue" xfId="19" xr:uid="{00000000-0005-0000-0000-000013000000}"/>
    <cellStyle name="Num (1,234.10) L Black" xfId="20" xr:uid="{00000000-0005-0000-0000-000014000000}"/>
    <cellStyle name="Num (1,234.10) U Blue" xfId="21" xr:uid="{00000000-0005-0000-0000-000015000000}"/>
    <cellStyle name="Output" xfId="30" builtinId="21"/>
    <cellStyle name="Percent" xfId="22" builtinId="5"/>
    <cellStyle name="Percent 00.00% L Black" xfId="23" xr:uid="{00000000-0005-0000-0000-000017000000}"/>
    <cellStyle name="Percent 00.00% U Blue" xfId="24" xr:uid="{00000000-0005-0000-0000-000018000000}"/>
    <cellStyle name="Standard_Anpassen der Amortisation" xfId="25" xr:uid="{00000000-0005-0000-0000-000019000000}"/>
    <cellStyle name="Währung [0]_Compiling Utility Macros" xfId="26" xr:uid="{00000000-0005-0000-0000-00001A000000}"/>
    <cellStyle name="Währung_Compiling Utility Macros" xfId="27" xr:uid="{00000000-0005-0000-0000-00001B000000}"/>
  </cellStyles>
  <dxfs count="6">
    <dxf>
      <font>
        <color rgb="FF9C0006"/>
      </font>
    </dxf>
    <dxf>
      <font>
        <color rgb="FF9C0006"/>
      </font>
    </dxf>
    <dxf>
      <font>
        <color rgb="FF9C0006"/>
      </font>
    </dxf>
    <dxf>
      <font>
        <color rgb="FF9C0006"/>
      </font>
    </dxf>
    <dxf>
      <font>
        <color rgb="FF9C0006"/>
      </font>
    </dxf>
    <dxf>
      <font>
        <color rgb="FF9C0006"/>
      </font>
    </dxf>
  </dxfs>
  <tableStyles count="0" defaultTableStyle="TableStyleMedium9" defaultPivotStyle="PivotStyleLight16"/>
  <colors>
    <mruColors>
      <color rgb="FFDBD5CD"/>
      <color rgb="FF8773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Growth</a:t>
            </a:r>
            <a:r>
              <a:rPr lang="en-US" baseline="0"/>
              <a:t> distribution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'AUM Evaluator'!$F$3</c:f>
              <c:strCache>
                <c:ptCount val="1"/>
                <c:pt idx="0">
                  <c:v>Warm season growth</c:v>
                </c:pt>
              </c:strCache>
            </c:strRef>
          </c:tx>
          <c:spPr>
            <a:ln w="28575" cap="rnd">
              <a:solidFill>
                <a:schemeClr val="accent1"/>
              </a:solidFill>
              <a:round/>
            </a:ln>
            <a:effectLst/>
          </c:spPr>
          <c:marker>
            <c:symbol val="none"/>
          </c:marker>
          <c:cat>
            <c:strRef>
              <c:f>'AUM Evaluator'!$G$2:$R$2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'AUM Evaluator'!$G$3:$R$3</c:f>
              <c:numCache>
                <c:formatCode>0%</c:formatCode>
                <c:ptCount val="12"/>
                <c:pt idx="0">
                  <c:v>0</c:v>
                </c:pt>
                <c:pt idx="1">
                  <c:v>0</c:v>
                </c:pt>
                <c:pt idx="2">
                  <c:v>0</c:v>
                </c:pt>
                <c:pt idx="3">
                  <c:v>0.03</c:v>
                </c:pt>
                <c:pt idx="4">
                  <c:v>0.15</c:v>
                </c:pt>
                <c:pt idx="5">
                  <c:v>0.22</c:v>
                </c:pt>
                <c:pt idx="6">
                  <c:v>0.22</c:v>
                </c:pt>
                <c:pt idx="7">
                  <c:v>0.2</c:v>
                </c:pt>
                <c:pt idx="8">
                  <c:v>0.13</c:v>
                </c:pt>
                <c:pt idx="9">
                  <c:v>0.05</c:v>
                </c:pt>
                <c:pt idx="10">
                  <c:v>0</c:v>
                </c:pt>
                <c:pt idx="11">
                  <c:v>0</c:v>
                </c:pt>
              </c:numCache>
            </c:numRef>
          </c:val>
          <c:smooth val="0"/>
          <c:extLst>
            <c:ext xmlns:c16="http://schemas.microsoft.com/office/drawing/2014/chart" uri="{C3380CC4-5D6E-409C-BE32-E72D297353CC}">
              <c16:uniqueId val="{00000000-1DA7-4D3D-8B0A-D2985BCC5D6A}"/>
            </c:ext>
          </c:extLst>
        </c:ser>
        <c:ser>
          <c:idx val="1"/>
          <c:order val="1"/>
          <c:tx>
            <c:strRef>
              <c:f>'AUM Evaluator'!$F$6</c:f>
              <c:strCache>
                <c:ptCount val="1"/>
                <c:pt idx="0">
                  <c:v>Cool season growth</c:v>
                </c:pt>
              </c:strCache>
            </c:strRef>
          </c:tx>
          <c:spPr>
            <a:ln w="28575" cap="rnd">
              <a:solidFill>
                <a:schemeClr val="accent2"/>
              </a:solidFill>
              <a:round/>
            </a:ln>
            <a:effectLst/>
          </c:spPr>
          <c:marker>
            <c:symbol val="none"/>
          </c:marker>
          <c:cat>
            <c:strRef>
              <c:f>'AUM Evaluator'!$G$2:$R$2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'AUM Evaluator'!$G$6:$R$6</c:f>
              <c:numCache>
                <c:formatCode>0%</c:formatCode>
                <c:ptCount val="12"/>
                <c:pt idx="0">
                  <c:v>0</c:v>
                </c:pt>
                <c:pt idx="1">
                  <c:v>0.02</c:v>
                </c:pt>
                <c:pt idx="2">
                  <c:v>0.1</c:v>
                </c:pt>
                <c:pt idx="3">
                  <c:v>0.17</c:v>
                </c:pt>
                <c:pt idx="4">
                  <c:v>0.22</c:v>
                </c:pt>
                <c:pt idx="5">
                  <c:v>0.14000000000000001</c:v>
                </c:pt>
                <c:pt idx="6">
                  <c:v>0.03</c:v>
                </c:pt>
                <c:pt idx="7">
                  <c:v>0.03</c:v>
                </c:pt>
                <c:pt idx="8">
                  <c:v>0.12</c:v>
                </c:pt>
                <c:pt idx="9">
                  <c:v>0.12</c:v>
                </c:pt>
                <c:pt idx="10">
                  <c:v>0.05</c:v>
                </c:pt>
                <c:pt idx="11">
                  <c:v>0</c:v>
                </c:pt>
              </c:numCache>
            </c:numRef>
          </c:val>
          <c:smooth val="0"/>
          <c:extLst>
            <c:ext xmlns:c16="http://schemas.microsoft.com/office/drawing/2014/chart" uri="{C3380CC4-5D6E-409C-BE32-E72D297353CC}">
              <c16:uniqueId val="{00000001-1DA7-4D3D-8B0A-D2985BCC5D6A}"/>
            </c:ext>
          </c:extLst>
        </c:ser>
        <c:dLbls>
          <c:showLegendKey val="0"/>
          <c:showVal val="0"/>
          <c:showCatName val="0"/>
          <c:showSerName val="0"/>
          <c:showPercent val="0"/>
          <c:showBubbleSize val="0"/>
        </c:dLbls>
        <c:smooth val="0"/>
        <c:axId val="75801680"/>
        <c:axId val="75779600"/>
      </c:lineChart>
      <c:catAx>
        <c:axId val="75801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779600"/>
        <c:crosses val="autoZero"/>
        <c:auto val="1"/>
        <c:lblAlgn val="ctr"/>
        <c:lblOffset val="100"/>
        <c:noMultiLvlLbl val="0"/>
      </c:catAx>
      <c:valAx>
        <c:axId val="757796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8016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3171825</xdr:colOff>
      <xdr:row>3</xdr:row>
      <xdr:rowOff>184610</xdr:rowOff>
    </xdr:from>
    <xdr:to>
      <xdr:col>2</xdr:col>
      <xdr:colOff>3171825</xdr:colOff>
      <xdr:row>7</xdr:row>
      <xdr:rowOff>41849</xdr:rowOff>
    </xdr:to>
    <xdr:pic>
      <xdr:nvPicPr>
        <xdr:cNvPr id="2" name="Picture 1">
          <a:extLst>
            <a:ext uri="{FF2B5EF4-FFF2-40B4-BE49-F238E27FC236}">
              <a16:creationId xmlns:a16="http://schemas.microsoft.com/office/drawing/2014/main" id="{522BA273-F304-452E-AE25-51B2B0D171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38600" y="946610"/>
          <a:ext cx="1971675" cy="619239"/>
        </a:xfrm>
        <a:prstGeom prst="rect">
          <a:avLst/>
        </a:prstGeom>
      </xdr:spPr>
    </xdr:pic>
    <xdr:clientData/>
  </xdr:twoCellAnchor>
  <xdr:twoCellAnchor editAs="oneCell">
    <xdr:from>
      <xdr:col>2</xdr:col>
      <xdr:colOff>3171825</xdr:colOff>
      <xdr:row>3</xdr:row>
      <xdr:rowOff>184610</xdr:rowOff>
    </xdr:from>
    <xdr:to>
      <xdr:col>2</xdr:col>
      <xdr:colOff>3171825</xdr:colOff>
      <xdr:row>7</xdr:row>
      <xdr:rowOff>41849</xdr:rowOff>
    </xdr:to>
    <xdr:pic>
      <xdr:nvPicPr>
        <xdr:cNvPr id="3" name="Picture 2">
          <a:extLst>
            <a:ext uri="{FF2B5EF4-FFF2-40B4-BE49-F238E27FC236}">
              <a16:creationId xmlns:a16="http://schemas.microsoft.com/office/drawing/2014/main" id="{89F4E6CD-8181-4A56-8320-7491E75ADE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62425" y="946610"/>
          <a:ext cx="0" cy="695439"/>
        </a:xfrm>
        <a:prstGeom prst="rect">
          <a:avLst/>
        </a:prstGeom>
      </xdr:spPr>
    </xdr:pic>
    <xdr:clientData/>
  </xdr:twoCellAnchor>
  <xdr:twoCellAnchor editAs="oneCell">
    <xdr:from>
      <xdr:col>2</xdr:col>
      <xdr:colOff>3143250</xdr:colOff>
      <xdr:row>4</xdr:row>
      <xdr:rowOff>55098</xdr:rowOff>
    </xdr:from>
    <xdr:to>
      <xdr:col>3</xdr:col>
      <xdr:colOff>85725</xdr:colOff>
      <xdr:row>7</xdr:row>
      <xdr:rowOff>0</xdr:rowOff>
    </xdr:to>
    <xdr:pic>
      <xdr:nvPicPr>
        <xdr:cNvPr id="4" name="Picture 3">
          <a:extLst>
            <a:ext uri="{FF2B5EF4-FFF2-40B4-BE49-F238E27FC236}">
              <a16:creationId xmlns:a16="http://schemas.microsoft.com/office/drawing/2014/main" id="{28909B44-FCBD-473D-A4DD-7D70A7F7BE0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133850" y="1026648"/>
          <a:ext cx="1962150" cy="5735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581025</xdr:colOff>
      <xdr:row>19</xdr:row>
      <xdr:rowOff>95250</xdr:rowOff>
    </xdr:from>
    <xdr:to>
      <xdr:col>22</xdr:col>
      <xdr:colOff>352989</xdr:colOff>
      <xdr:row>36</xdr:row>
      <xdr:rowOff>105228</xdr:rowOff>
    </xdr:to>
    <xdr:pic>
      <xdr:nvPicPr>
        <xdr:cNvPr id="2" name="Picture 1">
          <a:extLst>
            <a:ext uri="{FF2B5EF4-FFF2-40B4-BE49-F238E27FC236}">
              <a16:creationId xmlns:a16="http://schemas.microsoft.com/office/drawing/2014/main" id="{6BB6BBA2-7E78-08B0-5CF5-0F869CE9E5B3}"/>
            </a:ext>
          </a:extLst>
        </xdr:cNvPr>
        <xdr:cNvPicPr>
          <a:picLocks noChangeAspect="1"/>
        </xdr:cNvPicPr>
      </xdr:nvPicPr>
      <xdr:blipFill>
        <a:blip xmlns:r="http://schemas.openxmlformats.org/officeDocument/2006/relationships" r:embed="rId1"/>
        <a:stretch>
          <a:fillRect/>
        </a:stretch>
      </xdr:blipFill>
      <xdr:spPr>
        <a:xfrm>
          <a:off x="10677525" y="2952750"/>
          <a:ext cx="4039164" cy="3248478"/>
        </a:xfrm>
        <a:prstGeom prst="rect">
          <a:avLst/>
        </a:prstGeom>
      </xdr:spPr>
    </xdr:pic>
    <xdr:clientData/>
  </xdr:twoCellAnchor>
  <xdr:twoCellAnchor>
    <xdr:from>
      <xdr:col>6</xdr:col>
      <xdr:colOff>542925</xdr:colOff>
      <xdr:row>20</xdr:row>
      <xdr:rowOff>109537</xdr:rowOff>
    </xdr:from>
    <xdr:to>
      <xdr:col>14</xdr:col>
      <xdr:colOff>238125</xdr:colOff>
      <xdr:row>34</xdr:row>
      <xdr:rowOff>185737</xdr:rowOff>
    </xdr:to>
    <xdr:graphicFrame macro="">
      <xdr:nvGraphicFramePr>
        <xdr:cNvPr id="4" name="Chart 3">
          <a:extLst>
            <a:ext uri="{FF2B5EF4-FFF2-40B4-BE49-F238E27FC236}">
              <a16:creationId xmlns:a16="http://schemas.microsoft.com/office/drawing/2014/main" id="{A503ADEA-0566-FB64-49E1-8DC79A9788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Mizzou 2">
      <a:dk1>
        <a:srgbClr val="000000"/>
      </a:dk1>
      <a:lt1>
        <a:sysClr val="window" lastClr="FFFFFF"/>
      </a:lt1>
      <a:dk2>
        <a:srgbClr val="000000"/>
      </a:dk2>
      <a:lt2>
        <a:srgbClr val="FBEEC9"/>
      </a:lt2>
      <a:accent1>
        <a:srgbClr val="CC9933"/>
      </a:accent1>
      <a:accent2>
        <a:srgbClr val="666666"/>
      </a:accent2>
      <a:accent3>
        <a:srgbClr val="CAC8B5"/>
      </a:accent3>
      <a:accent4>
        <a:srgbClr val="FFFFCC"/>
      </a:accent4>
      <a:accent5>
        <a:srgbClr val="F5DA78"/>
      </a:accent5>
      <a:accent6>
        <a:srgbClr val="F7E09E"/>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3" Type="http://schemas.openxmlformats.org/officeDocument/2006/relationships/hyperlink" Target="mailto:tuckerw@missouri.edu" TargetMode="External"/><Relationship Id="rId2" Type="http://schemas.openxmlformats.org/officeDocument/2006/relationships/hyperlink" Target="mailto:HornerJ@missouri.edu" TargetMode="External"/><Relationship Id="rId1" Type="http://schemas.openxmlformats.org/officeDocument/2006/relationships/hyperlink" Target="https://nam02.safelinks.protection.outlook.com/?url=https%3A%2F%2Fwww.asi.k-state.edu%2Fabout%2Fnewsletters%2Ffocus-on-feedlots%2Fmonthly-reports.html&amp;data=04%7C01%7C%7Ca88cd0812a3f43867a8908d94bb06db5%7Ce3fefdbef7e9401ba51a355e01b05a89%7C0%7C0%7C637624043384213105%7CUnknown%7CTWFpbGZsb3d8eyJWIjoiMC4wLjAwMDAiLCJQIjoiV2luMzIiLCJBTiI6Ik1haWwiLCJXVCI6Mn0%3D%7C1000&amp;sdata=MKgt1YQqOH4PxCZ0x9IBDGOGpz5zV8hSEjiY0nom%2BBs%3D&amp;reserved=0"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52722-EEFA-494C-95DB-90555185F79E}">
  <dimension ref="A1:E19"/>
  <sheetViews>
    <sheetView showGridLines="0" tabSelected="1" workbookViewId="0">
      <selection activeCell="B9" sqref="B9:D9"/>
    </sheetView>
  </sheetViews>
  <sheetFormatPr defaultColWidth="0" defaultRowHeight="16.5" customHeight="1" zeroHeight="1" x14ac:dyDescent="0.3"/>
  <cols>
    <col min="1" max="1" width="3.85546875" style="124" customWidth="1"/>
    <col min="2" max="2" width="9.140625" style="124" customWidth="1"/>
    <col min="3" max="3" width="75.28515625" style="124" customWidth="1"/>
    <col min="4" max="5" width="9.140625" style="124" customWidth="1"/>
    <col min="6" max="6" width="9.140625" style="124" hidden="1" customWidth="1"/>
    <col min="7" max="16384" width="9.140625" style="124" hidden="1"/>
  </cols>
  <sheetData>
    <row r="1" spans="2:5" ht="17.25" thickBot="1" x14ac:dyDescent="0.35"/>
    <row r="2" spans="2:5" ht="26.25" thickBot="1" x14ac:dyDescent="0.55000000000000004">
      <c r="B2" s="531" t="s">
        <v>407</v>
      </c>
      <c r="C2" s="532"/>
      <c r="D2" s="533"/>
    </row>
    <row r="3" spans="2:5" x14ac:dyDescent="0.3">
      <c r="B3" s="534" t="s">
        <v>422</v>
      </c>
      <c r="C3" s="534"/>
      <c r="D3" s="534"/>
    </row>
    <row r="4" spans="2:5" x14ac:dyDescent="0.3">
      <c r="B4" s="535"/>
      <c r="C4" s="535"/>
      <c r="D4" s="535"/>
    </row>
    <row r="5" spans="2:5" x14ac:dyDescent="0.3">
      <c r="B5" s="125" t="s">
        <v>363</v>
      </c>
      <c r="C5" s="125"/>
    </row>
    <row r="6" spans="2:5" x14ac:dyDescent="0.3">
      <c r="B6" s="126" t="s">
        <v>411</v>
      </c>
      <c r="C6" s="126"/>
    </row>
    <row r="7" spans="2:5" x14ac:dyDescent="0.3">
      <c r="B7" s="126" t="s">
        <v>364</v>
      </c>
      <c r="C7" s="126"/>
    </row>
    <row r="8" spans="2:5" x14ac:dyDescent="0.3"/>
    <row r="9" spans="2:5" ht="42" customHeight="1" x14ac:dyDescent="0.3">
      <c r="B9" s="536" t="s">
        <v>420</v>
      </c>
      <c r="C9" s="536"/>
      <c r="D9" s="536"/>
    </row>
    <row r="10" spans="2:5" ht="17.25" x14ac:dyDescent="0.3">
      <c r="C10" s="127"/>
    </row>
    <row r="11" spans="2:5" ht="102.75" customHeight="1" x14ac:dyDescent="0.3">
      <c r="B11" s="537" t="s">
        <v>419</v>
      </c>
      <c r="C11" s="537"/>
      <c r="D11" s="537"/>
    </row>
    <row r="12" spans="2:5" ht="17.25" x14ac:dyDescent="0.3">
      <c r="C12" s="128"/>
    </row>
    <row r="13" spans="2:5" ht="30" customHeight="1" x14ac:dyDescent="0.3">
      <c r="B13" s="537" t="s">
        <v>408</v>
      </c>
      <c r="C13" s="537"/>
      <c r="D13" s="537"/>
    </row>
    <row r="14" spans="2:5" ht="52.5" customHeight="1" x14ac:dyDescent="0.3">
      <c r="B14" s="528" t="s">
        <v>421</v>
      </c>
      <c r="C14" s="528"/>
      <c r="D14" s="528"/>
      <c r="E14" s="129"/>
    </row>
    <row r="15" spans="2:5" ht="17.25" thickBot="1" x14ac:dyDescent="0.35"/>
    <row r="16" spans="2:5" ht="21" thickBot="1" x14ac:dyDescent="0.4">
      <c r="B16" s="529"/>
      <c r="C16" s="530"/>
      <c r="D16" s="530"/>
    </row>
    <row r="17" x14ac:dyDescent="0.3"/>
    <row r="18" x14ac:dyDescent="0.3"/>
    <row r="19" ht="16.5" customHeight="1" x14ac:dyDescent="0.3"/>
  </sheetData>
  <sheetProtection sheet="1" objects="1" scenarios="1"/>
  <mergeCells count="8">
    <mergeCell ref="B14:D14"/>
    <mergeCell ref="B16:D16"/>
    <mergeCell ref="B2:D2"/>
    <mergeCell ref="B3:D3"/>
    <mergeCell ref="B4:D4"/>
    <mergeCell ref="B9:D9"/>
    <mergeCell ref="B11:D11"/>
    <mergeCell ref="B13:D13"/>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B5560-B724-430E-8072-F189BC49EE98}">
  <dimension ref="A1:EQ121"/>
  <sheetViews>
    <sheetView showGridLines="0" workbookViewId="0">
      <selection sqref="A1:F1"/>
    </sheetView>
  </sheetViews>
  <sheetFormatPr defaultRowHeight="18.95" customHeight="1" x14ac:dyDescent="0.25"/>
  <cols>
    <col min="1" max="6" width="9.140625" style="216"/>
    <col min="7" max="7" width="212.5703125" style="216" customWidth="1"/>
    <col min="8" max="8" width="14.85546875" style="216" customWidth="1"/>
    <col min="9" max="9" width="46" style="216" bestFit="1" customWidth="1"/>
    <col min="10" max="10" width="11.28515625" style="216" bestFit="1" customWidth="1"/>
    <col min="11" max="11" width="20.7109375" style="216" customWidth="1"/>
    <col min="12" max="12" width="35.140625" style="216" customWidth="1"/>
    <col min="13" max="13" width="106" style="216" customWidth="1"/>
    <col min="14" max="14" width="81.42578125" style="216" customWidth="1"/>
    <col min="15" max="15" width="9.28515625" style="216" customWidth="1"/>
    <col min="16" max="16" width="7.5703125" style="216" customWidth="1"/>
    <col min="17" max="17" width="10.85546875" style="216" customWidth="1"/>
    <col min="18" max="18" width="10.42578125" style="216" customWidth="1"/>
    <col min="19" max="19" width="10.85546875" style="216" bestFit="1" customWidth="1"/>
    <col min="20" max="20" width="8.7109375" style="216" bestFit="1" customWidth="1"/>
    <col min="21" max="21" width="7.85546875" style="216" bestFit="1" customWidth="1"/>
    <col min="22" max="22" width="10.85546875" style="216" customWidth="1"/>
    <col min="23" max="23" width="9" style="216" bestFit="1" customWidth="1"/>
    <col min="24" max="24" width="11.5703125" style="216" bestFit="1" customWidth="1"/>
    <col min="25" max="25" width="10.5703125" style="216" bestFit="1" customWidth="1"/>
    <col min="26" max="26" width="7.28515625" style="216" customWidth="1"/>
    <col min="27" max="27" width="9" style="216" customWidth="1"/>
    <col min="28" max="28" width="10.42578125" style="216" customWidth="1"/>
    <col min="29" max="29" width="9.7109375" style="216" customWidth="1"/>
    <col min="30" max="30" width="11.85546875" style="216" customWidth="1"/>
    <col min="31" max="31" width="9.85546875" style="216" customWidth="1"/>
    <col min="32" max="32" width="11.7109375" style="216" customWidth="1"/>
    <col min="33" max="37" width="9.28515625" style="216" customWidth="1"/>
    <col min="38" max="38" width="74.140625" style="216" customWidth="1"/>
    <col min="39" max="40" width="9.28515625" style="216" customWidth="1"/>
    <col min="41" max="41" width="12.85546875" style="216" customWidth="1"/>
    <col min="42" max="42" width="13.140625" style="216" customWidth="1"/>
    <col min="43" max="43" width="10.140625" style="216" bestFit="1" customWidth="1"/>
    <col min="44" max="44" width="10.7109375" style="216" bestFit="1" customWidth="1"/>
    <col min="45" max="45" width="10.5703125" style="216" bestFit="1" customWidth="1"/>
    <col min="46" max="46" width="8.140625" style="216" hidden="1" customWidth="1"/>
    <col min="47" max="47" width="11" style="216" bestFit="1" customWidth="1"/>
    <col min="48" max="48" width="10.5703125" style="216" bestFit="1" customWidth="1"/>
    <col min="49" max="49" width="11.28515625" style="216" customWidth="1"/>
    <col min="50" max="50" width="8.5703125" style="216" bestFit="1" customWidth="1"/>
    <col min="51" max="51" width="11" style="216" bestFit="1" customWidth="1"/>
    <col min="52" max="52" width="12" style="216" bestFit="1" customWidth="1"/>
    <col min="53" max="53" width="11" style="216" bestFit="1" customWidth="1"/>
    <col min="54" max="54" width="11.42578125" style="216" bestFit="1" customWidth="1"/>
    <col min="55" max="55" width="9.5703125" style="216" hidden="1" customWidth="1"/>
    <col min="56" max="56" width="10.85546875" style="216" customWidth="1"/>
    <col min="57" max="57" width="12.42578125" style="216" customWidth="1"/>
    <col min="58" max="58" width="12.7109375" style="216" bestFit="1" customWidth="1"/>
    <col min="59" max="62" width="9.140625" style="216" customWidth="1"/>
    <col min="63" max="63" width="53.85546875" style="213" customWidth="1"/>
    <col min="64" max="64" width="26" style="213" customWidth="1"/>
    <col min="65" max="65" width="9.140625" style="216" customWidth="1"/>
    <col min="66" max="66" width="27.42578125" style="216" bestFit="1" customWidth="1"/>
    <col min="67" max="67" width="18.85546875" style="216" bestFit="1" customWidth="1"/>
    <col min="68" max="68" width="22.28515625" style="216" customWidth="1"/>
    <col min="69" max="69" width="11" style="216" bestFit="1" customWidth="1"/>
    <col min="70" max="70" width="9" style="216" hidden="1" customWidth="1"/>
    <col min="71" max="73" width="6.28515625" style="216" hidden="1" customWidth="1"/>
    <col min="74" max="74" width="23.5703125" style="216" bestFit="1" customWidth="1"/>
    <col min="75" max="75" width="37.5703125" style="216" bestFit="1" customWidth="1"/>
    <col min="76" max="76" width="35.5703125" style="216" bestFit="1" customWidth="1"/>
    <col min="77" max="77" width="34.140625" style="216" bestFit="1" customWidth="1"/>
    <col min="78" max="78" width="9.140625" style="216" customWidth="1"/>
    <col min="79" max="79" width="50.85546875" style="216" customWidth="1"/>
    <col min="80" max="80" width="9.7109375" style="216" bestFit="1" customWidth="1"/>
    <col min="81" max="81" width="13.85546875" style="216" customWidth="1"/>
    <col min="82" max="82" width="11.42578125" style="216" customWidth="1"/>
    <col min="83" max="83" width="13.42578125" style="216" bestFit="1" customWidth="1"/>
    <col min="84" max="84" width="15.140625" style="216" customWidth="1"/>
    <col min="85" max="85" width="12.28515625" style="216" customWidth="1"/>
    <col min="86" max="86" width="11.7109375" style="216" customWidth="1"/>
    <col min="87" max="87" width="37.85546875" style="216" customWidth="1"/>
    <col min="88" max="89" width="110.140625" style="216" customWidth="1"/>
    <col min="90" max="90" width="8.42578125" style="216" customWidth="1"/>
    <col min="91" max="91" width="46.42578125" style="216" bestFit="1" customWidth="1"/>
    <col min="92" max="92" width="8.5703125" style="216" bestFit="1" customWidth="1"/>
    <col min="93" max="93" width="13.28515625" style="216" bestFit="1" customWidth="1"/>
    <col min="94" max="94" width="10" style="216" bestFit="1" customWidth="1"/>
    <col min="95" max="95" width="22.42578125" style="216" bestFit="1" customWidth="1"/>
    <col min="96" max="96" width="4" style="216" customWidth="1"/>
    <col min="97" max="97" width="2.28515625" style="216" customWidth="1"/>
    <col min="98" max="98" width="82.42578125" style="216" customWidth="1"/>
    <col min="99" max="99" width="117.28515625" style="216" customWidth="1"/>
    <col min="100" max="100" width="7.85546875" style="216" customWidth="1"/>
    <col min="101" max="101" width="18" style="216" customWidth="1"/>
    <col min="102" max="102" width="18.7109375" style="216" bestFit="1" customWidth="1"/>
    <col min="103" max="103" width="13.28515625" style="216" customWidth="1"/>
    <col min="104" max="104" width="17.28515625" style="216" customWidth="1"/>
    <col min="105" max="105" width="12" style="216" bestFit="1" customWidth="1"/>
    <col min="106" max="106" width="13.5703125" style="216" bestFit="1" customWidth="1"/>
    <col min="107" max="107" width="13" style="216" customWidth="1"/>
    <col min="108" max="108" width="13.85546875" style="216" customWidth="1"/>
    <col min="109" max="109" width="12.7109375" style="216" customWidth="1"/>
    <col min="110" max="110" width="11.85546875" style="216" customWidth="1"/>
    <col min="111" max="111" width="62.140625" style="216" customWidth="1"/>
    <col min="112" max="112" width="74.85546875" style="216" customWidth="1"/>
    <col min="113" max="113" width="7.85546875" style="216" customWidth="1"/>
    <col min="114" max="114" width="11.42578125" style="216" bestFit="1" customWidth="1"/>
    <col min="115" max="115" width="11.85546875" style="216" customWidth="1"/>
    <col min="116" max="116" width="11.7109375" style="216" bestFit="1" customWidth="1"/>
    <col min="117" max="117" width="16.5703125" style="216" customWidth="1"/>
    <col min="118" max="118" width="14.85546875" style="216" customWidth="1"/>
    <col min="119" max="119" width="12.85546875" style="216" customWidth="1"/>
    <col min="120" max="120" width="12" style="216" bestFit="1" customWidth="1"/>
    <col min="121" max="121" width="13.5703125" style="216" bestFit="1" customWidth="1"/>
    <col min="122" max="122" width="13" style="216" customWidth="1"/>
    <col min="123" max="123" width="13.85546875" style="216" customWidth="1"/>
    <col min="124" max="124" width="12.7109375" style="216" customWidth="1"/>
    <col min="125" max="125" width="11.85546875" style="216" customWidth="1"/>
    <col min="126" max="127" width="110.140625" style="216" customWidth="1"/>
    <col min="128" max="128" width="9.140625" style="216"/>
    <col min="129" max="129" width="19.140625" style="216" customWidth="1"/>
    <col min="130" max="130" width="38" style="216" bestFit="1" customWidth="1"/>
    <col min="131" max="131" width="7.140625" style="216" bestFit="1" customWidth="1"/>
    <col min="132" max="132" width="10.7109375" style="216" bestFit="1" customWidth="1"/>
    <col min="133" max="137" width="9.140625" style="216"/>
    <col min="138" max="138" width="95.5703125" style="216" customWidth="1"/>
    <col min="139" max="139" width="113.7109375" style="216" customWidth="1"/>
    <col min="140" max="140" width="9.140625" style="216"/>
    <col min="141" max="141" width="26.28515625" style="216" bestFit="1" customWidth="1"/>
    <col min="142" max="142" width="13.140625" style="216" bestFit="1" customWidth="1"/>
    <col min="143" max="147" width="9.140625" style="216"/>
    <col min="148" max="148" width="132.7109375" style="216" customWidth="1"/>
    <col min="149" max="16384" width="9.140625" style="216"/>
  </cols>
  <sheetData>
    <row r="1" spans="1:147" ht="24" thickBot="1" x14ac:dyDescent="0.3">
      <c r="A1" s="586" t="s">
        <v>272</v>
      </c>
      <c r="B1" s="587"/>
      <c r="C1" s="587"/>
      <c r="D1" s="587"/>
      <c r="E1" s="587"/>
      <c r="F1" s="588"/>
      <c r="G1" s="209"/>
      <c r="H1" s="210"/>
      <c r="I1" s="589" t="s">
        <v>331</v>
      </c>
      <c r="J1" s="590"/>
      <c r="K1" s="591"/>
      <c r="L1" s="592" t="s">
        <v>200</v>
      </c>
      <c r="M1" s="209"/>
      <c r="N1" s="209"/>
      <c r="O1" s="9"/>
      <c r="P1" s="593" t="s">
        <v>286</v>
      </c>
      <c r="Q1" s="594"/>
      <c r="R1" s="594"/>
      <c r="S1" s="594"/>
      <c r="T1" s="594"/>
      <c r="U1" s="594"/>
      <c r="V1" s="594"/>
      <c r="W1" s="594"/>
      <c r="X1" s="594"/>
      <c r="Y1" s="594"/>
      <c r="Z1" s="594"/>
      <c r="AA1" s="594"/>
      <c r="AB1" s="594"/>
      <c r="AC1" s="594"/>
      <c r="AD1" s="594"/>
      <c r="AE1" s="594"/>
      <c r="AF1" s="211"/>
      <c r="AG1" s="579" t="s">
        <v>200</v>
      </c>
      <c r="AH1" s="579"/>
      <c r="AI1" s="579"/>
      <c r="AJ1" s="579"/>
      <c r="AK1" s="9"/>
      <c r="AL1" s="209"/>
      <c r="AM1" s="9"/>
      <c r="AN1" s="595" t="s">
        <v>264</v>
      </c>
      <c r="AO1" s="596"/>
      <c r="AP1" s="596"/>
      <c r="AQ1" s="596"/>
      <c r="AR1" s="596"/>
      <c r="AS1" s="596"/>
      <c r="AT1" s="596"/>
      <c r="AU1" s="596"/>
      <c r="AV1" s="596"/>
      <c r="AW1" s="596"/>
      <c r="AX1" s="596"/>
      <c r="AY1" s="596"/>
      <c r="AZ1" s="596"/>
      <c r="BA1" s="596"/>
      <c r="BB1" s="596"/>
      <c r="BC1" s="596"/>
      <c r="BD1" s="596"/>
      <c r="BE1" s="596"/>
      <c r="BF1" s="597"/>
      <c r="BG1" s="592" t="s">
        <v>200</v>
      </c>
      <c r="BH1" s="639"/>
      <c r="BI1" s="639"/>
      <c r="BJ1" s="639"/>
      <c r="BM1" s="9"/>
      <c r="BN1" s="613" t="s">
        <v>327</v>
      </c>
      <c r="BO1" s="613"/>
      <c r="BP1" s="613"/>
      <c r="BQ1" s="613"/>
      <c r="BR1" s="613"/>
      <c r="BS1" s="613"/>
      <c r="BT1" s="613"/>
      <c r="BU1" s="613"/>
      <c r="BV1" s="613"/>
      <c r="BW1" s="613"/>
      <c r="BX1" s="613"/>
      <c r="BY1" s="613"/>
      <c r="BZ1" s="613"/>
      <c r="CA1" s="613"/>
      <c r="CB1" s="613"/>
      <c r="CC1" s="613"/>
      <c r="CD1" s="613"/>
      <c r="CE1" s="613"/>
      <c r="CF1" s="613"/>
      <c r="CG1" s="613"/>
      <c r="CH1" s="613"/>
      <c r="CI1" s="579" t="s">
        <v>200</v>
      </c>
      <c r="CJ1" s="214"/>
      <c r="CK1" s="214"/>
      <c r="CL1" s="215"/>
      <c r="CM1" s="580" t="s">
        <v>203</v>
      </c>
      <c r="CN1" s="581"/>
      <c r="CO1" s="582"/>
      <c r="CP1" s="579" t="s">
        <v>200</v>
      </c>
      <c r="CQ1" s="579"/>
      <c r="CR1" s="579"/>
      <c r="CS1" s="579"/>
      <c r="CV1" s="9"/>
      <c r="CW1" s="583" t="s">
        <v>281</v>
      </c>
      <c r="CX1" s="584"/>
      <c r="CY1" s="584"/>
      <c r="CZ1" s="584"/>
      <c r="DA1" s="584"/>
      <c r="DB1" s="585"/>
      <c r="DC1" s="579" t="s">
        <v>200</v>
      </c>
      <c r="DD1" s="579"/>
      <c r="DE1" s="579"/>
      <c r="DF1" s="579"/>
      <c r="DI1" s="9"/>
      <c r="DJ1" s="583" t="s">
        <v>196</v>
      </c>
      <c r="DK1" s="584"/>
      <c r="DL1" s="584"/>
      <c r="DM1" s="584"/>
      <c r="DN1" s="584"/>
      <c r="DO1" s="584"/>
      <c r="DP1" s="584"/>
      <c r="DQ1" s="585"/>
      <c r="DR1" s="579" t="s">
        <v>200</v>
      </c>
      <c r="DS1" s="579"/>
      <c r="DT1" s="579"/>
      <c r="DU1" s="579"/>
      <c r="DX1" s="9"/>
      <c r="DY1" s="610" t="s">
        <v>246</v>
      </c>
      <c r="DZ1" s="611"/>
      <c r="EA1" s="611"/>
      <c r="EB1" s="612"/>
      <c r="EC1" s="579" t="s">
        <v>200</v>
      </c>
      <c r="ED1" s="579"/>
      <c r="EE1" s="579"/>
      <c r="EF1" s="579"/>
      <c r="EG1" s="9"/>
      <c r="EJ1" s="9"/>
      <c r="EK1" s="610" t="s">
        <v>253</v>
      </c>
      <c r="EL1" s="612"/>
      <c r="EM1" s="579" t="s">
        <v>200</v>
      </c>
      <c r="EN1" s="579"/>
      <c r="EO1" s="579"/>
      <c r="EP1" s="579"/>
      <c r="EQ1" s="9"/>
    </row>
    <row r="2" spans="1:147" s="183" customFormat="1" ht="30.75" thickBot="1" x14ac:dyDescent="0.3">
      <c r="A2" s="598" t="s">
        <v>331</v>
      </c>
      <c r="B2" s="599"/>
      <c r="C2" s="599"/>
      <c r="D2" s="599"/>
      <c r="E2" s="599"/>
      <c r="F2" s="600"/>
      <c r="G2" s="164"/>
      <c r="H2" s="165"/>
      <c r="I2" s="490" t="s">
        <v>249</v>
      </c>
      <c r="J2" s="491" t="s">
        <v>332</v>
      </c>
      <c r="K2" s="492" t="s">
        <v>333</v>
      </c>
      <c r="L2" s="592"/>
      <c r="M2" s="164"/>
      <c r="N2" s="164"/>
      <c r="O2" s="166"/>
      <c r="P2" s="163" t="s">
        <v>188</v>
      </c>
      <c r="Q2" s="167" t="s">
        <v>109</v>
      </c>
      <c r="R2" s="167" t="s">
        <v>412</v>
      </c>
      <c r="S2" s="167" t="s">
        <v>107</v>
      </c>
      <c r="T2" s="167" t="s">
        <v>283</v>
      </c>
      <c r="U2" s="167" t="s">
        <v>282</v>
      </c>
      <c r="V2" s="168" t="s">
        <v>285</v>
      </c>
      <c r="W2" s="169" t="s">
        <v>185</v>
      </c>
      <c r="X2" s="170" t="s">
        <v>108</v>
      </c>
      <c r="Y2" s="171" t="s">
        <v>414</v>
      </c>
      <c r="Z2" s="170" t="s">
        <v>350</v>
      </c>
      <c r="AA2" s="170" t="s">
        <v>412</v>
      </c>
      <c r="AB2" s="170" t="s">
        <v>287</v>
      </c>
      <c r="AC2" s="170" t="s">
        <v>185</v>
      </c>
      <c r="AD2" s="170" t="s">
        <v>108</v>
      </c>
      <c r="AE2" s="170" t="s">
        <v>414</v>
      </c>
      <c r="AF2" s="171" t="s">
        <v>137</v>
      </c>
      <c r="AG2" s="579"/>
      <c r="AH2" s="579"/>
      <c r="AI2" s="579"/>
      <c r="AJ2" s="579"/>
      <c r="AK2" s="166"/>
      <c r="AL2" s="164"/>
      <c r="AM2" s="166"/>
      <c r="AN2" s="601" t="s">
        <v>278</v>
      </c>
      <c r="AO2" s="602"/>
      <c r="AP2" s="602"/>
      <c r="AQ2" s="603"/>
      <c r="AR2" s="172">
        <f>IFERROR(AVERAGE(AP6:AP55),"-")</f>
        <v>45256.097560975613</v>
      </c>
      <c r="AS2" s="604">
        <v>45290</v>
      </c>
      <c r="AT2" s="605"/>
      <c r="AU2" s="606"/>
      <c r="AV2" s="604">
        <v>45332</v>
      </c>
      <c r="AW2" s="606"/>
      <c r="AX2" s="604">
        <v>45376</v>
      </c>
      <c r="AY2" s="606"/>
      <c r="AZ2" s="604">
        <v>45410</v>
      </c>
      <c r="BA2" s="605"/>
      <c r="BB2" s="607" t="s">
        <v>187</v>
      </c>
      <c r="BC2" s="608"/>
      <c r="BD2" s="608"/>
      <c r="BE2" s="608"/>
      <c r="BF2" s="609"/>
      <c r="BG2" s="592"/>
      <c r="BH2" s="639"/>
      <c r="BI2" s="639"/>
      <c r="BJ2" s="639"/>
      <c r="BK2" s="173"/>
      <c r="BL2" s="173"/>
      <c r="BM2" s="166"/>
      <c r="BN2" s="174" t="s">
        <v>345</v>
      </c>
      <c r="BO2" s="175">
        <f>MIN(AP6:AP55)</f>
        <v>45246</v>
      </c>
      <c r="BP2" s="176" t="s">
        <v>346</v>
      </c>
      <c r="BQ2" s="177">
        <f>MAX(AR2:BB2)</f>
        <v>45410</v>
      </c>
      <c r="BR2" s="177"/>
      <c r="BS2" s="177"/>
      <c r="BT2" s="177"/>
      <c r="BU2" s="177"/>
      <c r="BV2" s="166"/>
      <c r="BW2" s="166"/>
      <c r="BX2" s="166"/>
      <c r="BY2" s="166"/>
      <c r="BZ2" s="166"/>
      <c r="CA2" s="166"/>
      <c r="CB2" s="166"/>
      <c r="CC2" s="166"/>
      <c r="CD2" s="166"/>
      <c r="CE2" s="166"/>
      <c r="CF2" s="166"/>
      <c r="CG2" s="166"/>
      <c r="CH2" s="166"/>
      <c r="CI2" s="579"/>
      <c r="CJ2" s="178"/>
      <c r="CK2" s="178"/>
      <c r="CL2" s="179"/>
      <c r="CM2" s="180" t="s">
        <v>220</v>
      </c>
      <c r="CN2" s="181" t="s">
        <v>296</v>
      </c>
      <c r="CO2" s="182" t="s">
        <v>329</v>
      </c>
      <c r="CP2" s="579"/>
      <c r="CQ2" s="579"/>
      <c r="CR2" s="579"/>
      <c r="CS2" s="579"/>
      <c r="CV2" s="166"/>
      <c r="CW2" s="184" t="s">
        <v>304</v>
      </c>
      <c r="CX2" s="185" t="s">
        <v>305</v>
      </c>
      <c r="CY2" s="185" t="s">
        <v>306</v>
      </c>
      <c r="CZ2" s="185" t="s">
        <v>310</v>
      </c>
      <c r="DA2" s="185" t="s">
        <v>199</v>
      </c>
      <c r="DB2" s="186" t="s">
        <v>197</v>
      </c>
      <c r="DC2" s="579"/>
      <c r="DD2" s="579"/>
      <c r="DE2" s="579"/>
      <c r="DF2" s="579"/>
      <c r="DI2" s="166"/>
      <c r="DJ2" s="184" t="s">
        <v>195</v>
      </c>
      <c r="DK2" s="185" t="s">
        <v>348</v>
      </c>
      <c r="DL2" s="185" t="s">
        <v>349</v>
      </c>
      <c r="DM2" s="185" t="s">
        <v>322</v>
      </c>
      <c r="DN2" s="185" t="s">
        <v>321</v>
      </c>
      <c r="DO2" s="190" t="s">
        <v>198</v>
      </c>
      <c r="DP2" s="185" t="s">
        <v>199</v>
      </c>
      <c r="DQ2" s="186" t="s">
        <v>197</v>
      </c>
      <c r="DR2" s="579"/>
      <c r="DS2" s="579"/>
      <c r="DT2" s="579"/>
      <c r="DU2" s="579"/>
      <c r="DX2" s="166"/>
      <c r="DY2" s="163" t="s">
        <v>249</v>
      </c>
      <c r="DZ2" s="167" t="s">
        <v>110</v>
      </c>
      <c r="EA2" s="167"/>
      <c r="EB2" s="187"/>
      <c r="EC2" s="579"/>
      <c r="ED2" s="579"/>
      <c r="EE2" s="579"/>
      <c r="EF2" s="579"/>
      <c r="EG2" s="166"/>
      <c r="EJ2" s="166"/>
      <c r="EK2" s="188" t="s">
        <v>249</v>
      </c>
      <c r="EL2" s="189" t="s">
        <v>258</v>
      </c>
      <c r="EM2" s="579"/>
      <c r="EN2" s="579"/>
      <c r="EO2" s="579"/>
      <c r="EP2" s="579"/>
      <c r="EQ2" s="166"/>
    </row>
    <row r="3" spans="1:147" ht="18.95" hidden="1" customHeight="1" thickBot="1" x14ac:dyDescent="0.3">
      <c r="A3" s="614"/>
      <c r="B3" s="615"/>
      <c r="C3" s="615"/>
      <c r="D3" s="615"/>
      <c r="E3" s="615"/>
      <c r="F3" s="616"/>
      <c r="G3" s="209"/>
      <c r="H3" s="210"/>
      <c r="I3" s="220"/>
      <c r="J3" s="210"/>
      <c r="K3" s="221"/>
      <c r="L3" s="210"/>
      <c r="M3" s="209"/>
      <c r="N3" s="209"/>
      <c r="O3" s="9"/>
      <c r="P3" s="222"/>
      <c r="Q3" s="223"/>
      <c r="R3" s="223"/>
      <c r="S3" s="223"/>
      <c r="T3" s="223"/>
      <c r="U3" s="223"/>
      <c r="V3" s="224"/>
      <c r="W3" s="225"/>
      <c r="X3" s="226"/>
      <c r="Y3" s="227"/>
      <c r="Z3" s="226"/>
      <c r="AA3" s="226"/>
      <c r="AB3" s="226"/>
      <c r="AC3" s="226"/>
      <c r="AD3" s="226"/>
      <c r="AE3" s="226"/>
      <c r="AF3" s="226"/>
      <c r="AG3" s="212"/>
      <c r="AH3" s="212"/>
      <c r="AI3" s="212"/>
      <c r="AJ3" s="212"/>
      <c r="AK3" s="9"/>
      <c r="AL3" s="209"/>
      <c r="AM3" s="9"/>
      <c r="AN3" s="228"/>
      <c r="AO3" s="229" t="s">
        <v>347</v>
      </c>
      <c r="AP3" s="229"/>
      <c r="AQ3" s="229"/>
      <c r="AR3" s="230">
        <v>1</v>
      </c>
      <c r="AS3" s="230">
        <v>2</v>
      </c>
      <c r="AT3" s="231"/>
      <c r="AU3" s="232"/>
      <c r="AV3" s="230">
        <v>3</v>
      </c>
      <c r="AW3" s="232"/>
      <c r="AX3" s="230">
        <v>4</v>
      </c>
      <c r="AY3" s="232"/>
      <c r="AZ3" s="230">
        <v>5</v>
      </c>
      <c r="BA3" s="231"/>
      <c r="BB3" s="233"/>
      <c r="BC3" s="234"/>
      <c r="BD3" s="234"/>
      <c r="BE3" s="234"/>
      <c r="BF3" s="235"/>
      <c r="BG3" s="212"/>
      <c r="BH3" s="212"/>
      <c r="BI3" s="212"/>
      <c r="BJ3" s="212"/>
      <c r="BM3" s="9"/>
      <c r="BN3" s="9"/>
      <c r="BO3" s="9"/>
      <c r="BP3" s="9"/>
      <c r="BQ3" s="9"/>
      <c r="BR3" s="9"/>
      <c r="BS3" s="9"/>
      <c r="BT3" s="9"/>
      <c r="BU3" s="9"/>
      <c r="BV3" s="9"/>
      <c r="BW3" s="9"/>
      <c r="BX3" s="9"/>
      <c r="BY3" s="9"/>
      <c r="BZ3" s="9"/>
      <c r="CA3" s="9"/>
      <c r="CB3" s="9"/>
      <c r="CC3" s="9"/>
      <c r="CD3" s="9"/>
      <c r="CE3" s="9"/>
      <c r="CF3" s="9"/>
      <c r="CG3" s="9"/>
      <c r="CH3" s="9"/>
      <c r="CI3" s="9"/>
      <c r="CL3" s="9"/>
      <c r="CM3" s="236"/>
      <c r="CN3" s="237"/>
      <c r="CO3" s="238"/>
      <c r="CP3" s="212"/>
      <c r="CQ3" s="212"/>
      <c r="CR3" s="212"/>
      <c r="CS3" s="212"/>
      <c r="CV3" s="9"/>
      <c r="CW3" s="239"/>
      <c r="CX3" s="12"/>
      <c r="CY3" s="12"/>
      <c r="CZ3" s="12"/>
      <c r="DA3" s="12"/>
      <c r="DB3" s="240"/>
      <c r="DC3" s="212"/>
      <c r="DD3" s="212"/>
      <c r="DE3" s="212"/>
      <c r="DF3" s="212"/>
      <c r="DI3" s="9"/>
      <c r="DJ3" s="239"/>
      <c r="DK3" s="12"/>
      <c r="DL3" s="12"/>
      <c r="DM3" s="12"/>
      <c r="DN3" s="12"/>
      <c r="DO3" s="12"/>
      <c r="DP3" s="12"/>
      <c r="DQ3" s="240"/>
      <c r="DR3" s="212"/>
      <c r="DS3" s="212"/>
      <c r="DT3" s="212"/>
      <c r="DU3" s="212"/>
      <c r="DX3" s="9"/>
      <c r="DY3" s="222"/>
      <c r="DZ3" s="223"/>
      <c r="EA3" s="223"/>
      <c r="EB3" s="241"/>
      <c r="EC3" s="212"/>
      <c r="ED3" s="212"/>
      <c r="EE3" s="212"/>
      <c r="EF3" s="212"/>
      <c r="EG3" s="9"/>
      <c r="EJ3" s="9"/>
      <c r="EK3" s="242"/>
      <c r="EL3" s="243"/>
      <c r="EM3" s="212"/>
      <c r="EN3" s="212"/>
      <c r="EO3" s="212"/>
      <c r="EP3" s="212"/>
      <c r="EQ3" s="9"/>
    </row>
    <row r="4" spans="1:147" ht="21" hidden="1" customHeight="1" x14ac:dyDescent="0.25">
      <c r="A4" s="217"/>
      <c r="B4" s="218"/>
      <c r="C4" s="218"/>
      <c r="D4" s="218"/>
      <c r="E4" s="218"/>
      <c r="F4" s="219"/>
      <c r="G4" s="244"/>
      <c r="H4" s="245"/>
      <c r="I4" s="246"/>
      <c r="J4" s="247"/>
      <c r="K4" s="248"/>
      <c r="L4" s="245"/>
      <c r="M4" s="244"/>
      <c r="N4" s="244"/>
      <c r="O4" s="9"/>
      <c r="P4" s="222"/>
      <c r="R4" s="223"/>
      <c r="S4" s="223"/>
      <c r="T4" s="223"/>
      <c r="U4" s="223"/>
      <c r="V4" s="224"/>
      <c r="W4" s="225"/>
      <c r="X4" s="226"/>
      <c r="Y4" s="227"/>
      <c r="Z4" s="226"/>
      <c r="AA4" s="226"/>
      <c r="AB4" s="226"/>
      <c r="AC4" s="226"/>
      <c r="AD4" s="226"/>
      <c r="AE4" s="226"/>
      <c r="AF4" s="226"/>
      <c r="AG4" s="212"/>
      <c r="AH4" s="212"/>
      <c r="AI4" s="212"/>
      <c r="AJ4" s="212"/>
      <c r="AK4" s="9"/>
      <c r="AL4" s="244"/>
      <c r="AM4" s="9"/>
      <c r="AN4" s="228"/>
      <c r="AO4" s="249">
        <f>V15</f>
        <v>413.39024390204878</v>
      </c>
      <c r="AP4" s="250">
        <f>AVERAGE(AP6:AP55)</f>
        <v>45256.097560975613</v>
      </c>
      <c r="AQ4" s="229"/>
      <c r="AR4" s="251"/>
      <c r="AS4" s="252"/>
      <c r="AT4" s="234"/>
      <c r="AU4" s="232">
        <f>IF(ISBLANK(AS2),0,DAYS360($AR$2,AS2,FALSE))</f>
        <v>34</v>
      </c>
      <c r="AV4" s="252"/>
      <c r="AW4" s="232">
        <f>IF(ISBLANK(AV2),0,DAYS360(AS2,AV2,FALSE))</f>
        <v>40</v>
      </c>
      <c r="AX4" s="252"/>
      <c r="AY4" s="232">
        <f>IF(ISBLANK(AX2),0,DAYS360(AV2,AX2,FALSE))</f>
        <v>45</v>
      </c>
      <c r="AZ4" s="252"/>
      <c r="BA4" s="253">
        <f>DAYS360(AX2,AZ2,FALSE)</f>
        <v>33</v>
      </c>
      <c r="BB4" s="233">
        <f>IF(ISBLANK(AZ2),0,DAYS360($AR$2,AZ2,FALSE))</f>
        <v>152</v>
      </c>
      <c r="BC4" s="253"/>
      <c r="BD4" s="234"/>
      <c r="BE4" s="234"/>
      <c r="BF4" s="235"/>
      <c r="BG4" s="9"/>
      <c r="BH4" s="9"/>
      <c r="BI4" s="9"/>
      <c r="BJ4" s="9"/>
      <c r="BM4" s="9"/>
      <c r="BN4" s="9"/>
      <c r="BO4" s="9"/>
      <c r="BP4" s="9"/>
      <c r="BQ4" s="9"/>
      <c r="BR4" s="9"/>
      <c r="BS4" s="9"/>
      <c r="BT4" s="9"/>
      <c r="BU4" s="9"/>
      <c r="BV4" s="9"/>
      <c r="BW4" s="9"/>
      <c r="BX4" s="9"/>
      <c r="BY4" s="9"/>
      <c r="BZ4" s="9"/>
      <c r="CA4" s="9"/>
      <c r="CB4" s="9"/>
      <c r="CC4" s="9"/>
      <c r="CD4" s="9"/>
      <c r="CE4" s="9"/>
      <c r="CF4" s="9"/>
      <c r="CG4" s="9"/>
      <c r="CH4" s="9"/>
      <c r="CI4" s="9"/>
      <c r="CL4" s="9"/>
      <c r="CM4" s="254" t="s">
        <v>223</v>
      </c>
      <c r="CN4" s="255"/>
      <c r="CO4" s="256">
        <v>6.75</v>
      </c>
      <c r="CP4" s="212"/>
      <c r="CQ4" s="212"/>
      <c r="CR4" s="212"/>
      <c r="CS4" s="212"/>
      <c r="CV4" s="9"/>
      <c r="CW4" s="239"/>
      <c r="CX4" s="12"/>
      <c r="CY4" s="12"/>
      <c r="CZ4" s="12"/>
      <c r="DA4" s="12"/>
      <c r="DB4" s="240"/>
      <c r="DC4" s="212"/>
      <c r="DD4" s="212"/>
      <c r="DE4" s="212"/>
      <c r="DF4" s="212"/>
      <c r="DI4" s="9"/>
      <c r="DJ4" s="239"/>
      <c r="DK4" s="12"/>
      <c r="DL4" s="12"/>
      <c r="DM4" s="12"/>
      <c r="DN4" s="12"/>
      <c r="DO4" s="12"/>
      <c r="DP4" s="12"/>
      <c r="DQ4" s="240"/>
      <c r="DR4" s="212"/>
      <c r="DS4" s="212"/>
      <c r="DT4" s="212"/>
      <c r="DU4" s="212"/>
      <c r="DX4" s="9"/>
      <c r="DY4" s="222"/>
      <c r="DZ4" s="223"/>
      <c r="EA4" s="223"/>
      <c r="EB4" s="241"/>
      <c r="EC4" s="212"/>
      <c r="ED4" s="212"/>
      <c r="EE4" s="212"/>
      <c r="EF4" s="212"/>
      <c r="EG4" s="9"/>
      <c r="EJ4" s="9"/>
      <c r="EK4" s="242"/>
      <c r="EL4" s="243"/>
      <c r="EM4" s="212"/>
      <c r="EN4" s="212"/>
      <c r="EO4" s="212"/>
      <c r="EP4" s="212"/>
      <c r="EQ4" s="9"/>
    </row>
    <row r="5" spans="1:147" ht="33" customHeight="1" x14ac:dyDescent="0.25">
      <c r="A5" s="614" t="s">
        <v>186</v>
      </c>
      <c r="B5" s="615"/>
      <c r="C5" s="615"/>
      <c r="D5" s="615"/>
      <c r="E5" s="615"/>
      <c r="F5" s="616"/>
      <c r="G5" s="244"/>
      <c r="H5" s="245"/>
      <c r="I5" s="257" t="s">
        <v>334</v>
      </c>
      <c r="J5" s="456">
        <v>135</v>
      </c>
      <c r="K5" s="258" t="s">
        <v>54</v>
      </c>
      <c r="L5" s="245"/>
      <c r="M5" s="244"/>
      <c r="N5" s="244"/>
      <c r="O5" s="259">
        <f>R5</f>
        <v>26</v>
      </c>
      <c r="P5" s="260">
        <v>1</v>
      </c>
      <c r="Q5" s="461">
        <v>45245</v>
      </c>
      <c r="R5" s="261">
        <f>U5-T5+IF(ISBLANK(T5),0,1)</f>
        <v>26</v>
      </c>
      <c r="S5" s="463" t="s">
        <v>135</v>
      </c>
      <c r="T5" s="464">
        <v>210</v>
      </c>
      <c r="U5" s="465">
        <v>235</v>
      </c>
      <c r="V5" s="466">
        <v>400.38461538400003</v>
      </c>
      <c r="W5" s="467">
        <v>265</v>
      </c>
      <c r="X5" s="262">
        <f>IFERROR(V5/100*W5*R5,0)</f>
        <v>27586.499999957607</v>
      </c>
      <c r="Y5" s="263">
        <f>IFERROR(X5/R5,"-")</f>
        <v>1061.0192307676002</v>
      </c>
      <c r="Z5" s="264">
        <v>1</v>
      </c>
      <c r="AA5" s="474">
        <v>14</v>
      </c>
      <c r="AB5" s="474">
        <v>551</v>
      </c>
      <c r="AC5" s="467">
        <v>232</v>
      </c>
      <c r="AD5" s="262">
        <f>IFERROR(AB5/100*AC5*R5,0)</f>
        <v>33236.32</v>
      </c>
      <c r="AE5" s="265">
        <f>IFERROR(AD5/R5,"-")</f>
        <v>1278.32</v>
      </c>
      <c r="AF5" s="266">
        <f>IFERROR(IF(AE5&lt;1,0,AE5-Y5-$CO$18),"-")</f>
        <v>187.9953608896989</v>
      </c>
      <c r="AG5" s="212"/>
      <c r="AH5" s="212"/>
      <c r="AI5" s="212"/>
      <c r="AJ5" s="212"/>
      <c r="AK5" s="9"/>
      <c r="AL5" s="244"/>
      <c r="AM5" s="9"/>
      <c r="AN5" s="267" t="s">
        <v>129</v>
      </c>
      <c r="AO5" s="268" t="s">
        <v>188</v>
      </c>
      <c r="AP5" s="268" t="s">
        <v>189</v>
      </c>
      <c r="AQ5" s="268" t="s">
        <v>136</v>
      </c>
      <c r="AR5" s="269" t="s">
        <v>344</v>
      </c>
      <c r="AS5" s="269" t="s">
        <v>131</v>
      </c>
      <c r="AT5" s="268" t="s">
        <v>279</v>
      </c>
      <c r="AU5" s="270" t="s">
        <v>130</v>
      </c>
      <c r="AV5" s="269" t="s">
        <v>132</v>
      </c>
      <c r="AW5" s="270" t="s">
        <v>130</v>
      </c>
      <c r="AX5" s="269" t="s">
        <v>133</v>
      </c>
      <c r="AY5" s="270" t="s">
        <v>130</v>
      </c>
      <c r="AZ5" s="269" t="s">
        <v>365</v>
      </c>
      <c r="BA5" s="268" t="s">
        <v>130</v>
      </c>
      <c r="BB5" s="271" t="s">
        <v>102</v>
      </c>
      <c r="BC5" s="190" t="s">
        <v>280</v>
      </c>
      <c r="BD5" s="190" t="s">
        <v>134</v>
      </c>
      <c r="BE5" s="190" t="s">
        <v>194</v>
      </c>
      <c r="BF5" s="272" t="s">
        <v>137</v>
      </c>
      <c r="BG5" s="9"/>
      <c r="BH5" s="9"/>
      <c r="BI5" s="9"/>
      <c r="BJ5" s="9"/>
      <c r="BM5" s="9"/>
      <c r="BN5" s="617" t="s">
        <v>219</v>
      </c>
      <c r="BO5" s="618"/>
      <c r="BP5" s="618"/>
      <c r="BQ5" s="618"/>
      <c r="BR5" s="618"/>
      <c r="BS5" s="618"/>
      <c r="BT5" s="618"/>
      <c r="BU5" s="618"/>
      <c r="BV5" s="618"/>
      <c r="BW5" s="618"/>
      <c r="BX5" s="618"/>
      <c r="BY5" s="619"/>
      <c r="BZ5" s="9"/>
      <c r="CA5" s="273" t="str">
        <f>IF('Example "lot" sheet'!BN7=$BN$17,"-",'Example "lot" sheet'!BN7)</f>
        <v>Starter</v>
      </c>
      <c r="CB5" s="54" t="s">
        <v>328</v>
      </c>
      <c r="CC5" s="54" t="s">
        <v>205</v>
      </c>
      <c r="CD5" s="54" t="s">
        <v>95</v>
      </c>
      <c r="CE5" s="54" t="s">
        <v>326</v>
      </c>
      <c r="CF5" s="54" t="s">
        <v>206</v>
      </c>
      <c r="CG5" s="54" t="s">
        <v>234</v>
      </c>
      <c r="CH5" s="274" t="s">
        <v>209</v>
      </c>
      <c r="CI5" s="9"/>
      <c r="CL5" s="9"/>
      <c r="CM5" s="254" t="str">
        <f>CA5</f>
        <v>Starter</v>
      </c>
      <c r="CN5" s="275">
        <f>BQ7</f>
        <v>20</v>
      </c>
      <c r="CO5" s="276">
        <f>CG13</f>
        <v>12.4025</v>
      </c>
      <c r="CP5" s="277">
        <f>CE13</f>
        <v>30.25</v>
      </c>
      <c r="CQ5" s="277">
        <f>CH14</f>
        <v>0</v>
      </c>
      <c r="CR5" s="212"/>
      <c r="CS5" s="212"/>
      <c r="CV5" s="9"/>
      <c r="CW5" s="484" t="s">
        <v>6</v>
      </c>
      <c r="CX5" s="485" t="s">
        <v>309</v>
      </c>
      <c r="CY5" s="487">
        <v>3.6</v>
      </c>
      <c r="CZ5" s="487" t="s">
        <v>307</v>
      </c>
      <c r="DA5" s="485">
        <v>2</v>
      </c>
      <c r="DB5" s="278">
        <f>DA5*CY5</f>
        <v>7.2</v>
      </c>
      <c r="DC5" s="212"/>
      <c r="DD5" s="212"/>
      <c r="DE5" s="212"/>
      <c r="DF5" s="212"/>
      <c r="DI5" s="9"/>
      <c r="DJ5" s="484">
        <v>215</v>
      </c>
      <c r="DK5" s="489">
        <v>45266</v>
      </c>
      <c r="DL5" s="9" t="str">
        <f t="shared" ref="DL5:DL29" si="0">IFERROR(VLOOKUP(DJ5,$AN$6:$AQ$55,4,FALSE),"-")</f>
        <v>Steer</v>
      </c>
      <c r="DM5" s="485"/>
      <c r="DN5" s="485" t="s">
        <v>320</v>
      </c>
      <c r="DO5" s="279">
        <f>IFERROR(VLOOKUP(DN5,$CW$5:$DA$18,3,FALSE),"")</f>
        <v>4</v>
      </c>
      <c r="DP5" s="485">
        <v>1</v>
      </c>
      <c r="DQ5" s="278">
        <f>IFERROR(DP5*DO5,"")</f>
        <v>4</v>
      </c>
      <c r="DR5" s="212"/>
      <c r="DS5" s="280">
        <f>AR2</f>
        <v>45256.097560975613</v>
      </c>
      <c r="DT5" s="212"/>
      <c r="DU5" s="212"/>
      <c r="DX5" s="9"/>
      <c r="DY5" s="620" t="s">
        <v>247</v>
      </c>
      <c r="DZ5" s="621"/>
      <c r="EA5" s="621"/>
      <c r="EB5" s="622"/>
      <c r="EC5" s="212"/>
      <c r="ED5" s="212"/>
      <c r="EE5" s="212"/>
      <c r="EF5" s="212"/>
      <c r="EG5" s="9"/>
      <c r="EJ5" s="9"/>
      <c r="EK5" s="281" t="s">
        <v>269</v>
      </c>
      <c r="EL5" s="282">
        <f>EL6*R15</f>
        <v>8250.9841041254112</v>
      </c>
      <c r="EM5" s="212"/>
      <c r="EN5" s="212"/>
      <c r="EO5" s="212"/>
      <c r="EP5" s="212"/>
      <c r="EQ5" s="9"/>
    </row>
    <row r="6" spans="1:147" ht="18.75" x14ac:dyDescent="0.25">
      <c r="A6" s="614" t="s">
        <v>284</v>
      </c>
      <c r="B6" s="615"/>
      <c r="C6" s="615"/>
      <c r="D6" s="615"/>
      <c r="E6" s="615"/>
      <c r="F6" s="616"/>
      <c r="G6" s="283"/>
      <c r="H6" s="284"/>
      <c r="I6" s="285" t="s">
        <v>277</v>
      </c>
      <c r="J6" s="456">
        <v>3</v>
      </c>
      <c r="K6" s="286" t="s">
        <v>339</v>
      </c>
      <c r="L6" s="284"/>
      <c r="M6" s="283"/>
      <c r="N6" s="283"/>
      <c r="O6" s="259">
        <f>R5+R6</f>
        <v>34</v>
      </c>
      <c r="P6" s="260">
        <v>2</v>
      </c>
      <c r="Q6" s="461">
        <v>45269</v>
      </c>
      <c r="R6" s="287">
        <f t="shared" ref="R6:R14" si="1">U6-T6+IF(ISBLANK(T6),0,1)</f>
        <v>8</v>
      </c>
      <c r="S6" s="467" t="s">
        <v>135</v>
      </c>
      <c r="T6" s="464">
        <v>236</v>
      </c>
      <c r="U6" s="465">
        <v>243</v>
      </c>
      <c r="V6" s="466">
        <v>443.75</v>
      </c>
      <c r="W6" s="467">
        <v>260</v>
      </c>
      <c r="X6" s="262">
        <f t="shared" ref="X6:X14" si="2">IFERROR(V6/100*W6*R6,0)</f>
        <v>9230</v>
      </c>
      <c r="Y6" s="263">
        <f t="shared" ref="Y6:Y8" si="3">IFERROR(X6/R6,"-")</f>
        <v>1153.75</v>
      </c>
      <c r="Z6" s="264">
        <v>2</v>
      </c>
      <c r="AA6" s="474">
        <v>26</v>
      </c>
      <c r="AB6" s="474">
        <v>590</v>
      </c>
      <c r="AC6" s="467">
        <v>228</v>
      </c>
      <c r="AD6" s="262">
        <f t="shared" ref="AD6:AD14" si="4">IFERROR(AB6/100*AC6*R6,0)</f>
        <v>10761.6</v>
      </c>
      <c r="AE6" s="265">
        <f t="shared" ref="AE6:AE14" si="5">IFERROR(AD6/R6,"-")</f>
        <v>1345.2</v>
      </c>
      <c r="AF6" s="266">
        <f t="shared" ref="AF6:AF14" si="6">IFERROR(IF(AE6&lt;1,0,AE6-Y6-$CO$18),"-")</f>
        <v>162.14459165729923</v>
      </c>
      <c r="AG6" s="9"/>
      <c r="AH6" s="9"/>
      <c r="AI6" s="9"/>
      <c r="AJ6" s="9"/>
      <c r="AK6" s="9"/>
      <c r="AL6" s="283"/>
      <c r="AM6" s="259">
        <v>1</v>
      </c>
      <c r="AN6" s="288">
        <f>T5</f>
        <v>210</v>
      </c>
      <c r="AO6" s="9">
        <f>IF(AM6&lt;=$O$5,$P$5,IF(AM6&lt;=$O$6,$P$6,IF(AM6&lt;=$O$7,$P$7,IF(AM6&lt;=$O$8,$P$8,IF(AM6&lt;=$O$9,$P$9,IF(AM6&lt;=$O$10,$P$10,IF(AM6&lt;=$O$11,$P$11,IF(AM6&lt;=$O$12,$P$12,IF(AM6&lt;=$O13,$P13,IF(AM6&lt;=$O$14,$P$14,"-"))))))))))</f>
        <v>1</v>
      </c>
      <c r="AP6" s="289">
        <v>45246</v>
      </c>
      <c r="AQ6" s="9" t="str">
        <f>IFERROR(VLOOKUP(AO6,$P$5:$S$14,4,FALSE),"-")</f>
        <v>Steer</v>
      </c>
      <c r="AR6" s="453">
        <f ca="1">RANDBETWEEN(450,600)</f>
        <v>456</v>
      </c>
      <c r="AS6" s="453">
        <f ca="1">RANDBETWEEN(AR6+30,AR6+90)</f>
        <v>511</v>
      </c>
      <c r="AT6" s="229">
        <f t="shared" ref="AT6:AT37" si="7">$AS$2-AP6</f>
        <v>44</v>
      </c>
      <c r="AU6" s="290">
        <f ca="1">IFERROR(IF((AS6-AR6)/AT6&lt;-3,"CHECK INPUTS",(AS6-AR6)/AT6),"N/A")</f>
        <v>1.25</v>
      </c>
      <c r="AV6" s="453">
        <f ca="1">RANDBETWEEN(AS6+30,AS6+90)</f>
        <v>566</v>
      </c>
      <c r="AW6" s="290">
        <f ca="1">IFERROR(IF((AV6-AS6)/AW$4&lt;-3,"CHECK INPUTS",(AV6-AS6)/AW$4),"N/A")</f>
        <v>1.375</v>
      </c>
      <c r="AX6" s="453">
        <f ca="1">RANDBETWEEN(AV6+30,AV6+90)</f>
        <v>597</v>
      </c>
      <c r="AY6" s="290">
        <f ca="1">IFERROR(IF((AX6-AV6)/AY$4&lt;-3,"CHECK INPUTS",(AX6-AV6)/AY$4),"N/A")</f>
        <v>0.68888888888888888</v>
      </c>
      <c r="AZ6" s="453">
        <f ca="1">RANDBETWEEN(AX6+30,AX6+90)</f>
        <v>659</v>
      </c>
      <c r="BA6" s="291">
        <f ca="1">IFERROR(IF((AZ6-AX6)/BA$4&lt;-3,"CHECK INPUTS",(AZ6-AX6)/BA$4),"N/A")</f>
        <v>1.8787878787878789</v>
      </c>
      <c r="BB6" s="292">
        <f t="shared" ref="BB6:BB54" ca="1" si="8">IF(ISERROR(MAX(AZ6,AX6,AV6,AS6,AR6)-AR6),"-",MAX(AZ6,AX6,AV6,AS6,AR6)-AR6)</f>
        <v>203</v>
      </c>
      <c r="BC6" s="229">
        <f>MAX($AR$2,$AS$2,$AV$2,$AX$2,$AZ$2)-AP6</f>
        <v>164</v>
      </c>
      <c r="BD6" s="293">
        <f ca="1">IFERROR((MAX(AZ6,AX6,AV6,AS6,AR6)-AR6)/BC6,)</f>
        <v>1.2378048780487805</v>
      </c>
      <c r="BE6" s="293">
        <f t="shared" ref="BE6:BE37" si="9">SUMIF($DJ$5:$DJ$30,AN6,$DQ$5:$DQ$30)</f>
        <v>0</v>
      </c>
      <c r="BF6" s="294">
        <f t="shared" ref="BF6" ca="1" si="10">IFERROR(IF(ISBLANK(AR6),0,IF(OR(AR6=$AQ$57,AS6=$AQ$57,AV6=$AQ$57,AX6=$AQ$57,AZ6=$AQ$57),-VLOOKUP(AO6,$P$5:$Y$14,10,FALSE)-BC6*$CO$19,IF(ISBLANK(AR6),0,MAX(AZ6,AX6,AV6,AS6,AR6)*$AC$15/100-VLOOKUP(AO6,$P$5:$Y$14,10,FALSE))-BC6*$CO$19)),"-")</f>
        <v>350.19416386660066</v>
      </c>
      <c r="BG6" s="9"/>
      <c r="BH6" s="9"/>
      <c r="BI6" s="9"/>
      <c r="BJ6" s="9"/>
      <c r="BM6" s="9"/>
      <c r="BN6" s="295" t="s">
        <v>220</v>
      </c>
      <c r="BO6" s="296" t="s">
        <v>294</v>
      </c>
      <c r="BP6" s="296" t="s">
        <v>295</v>
      </c>
      <c r="BQ6" s="296" t="s">
        <v>296</v>
      </c>
      <c r="BR6" s="296" t="s">
        <v>297</v>
      </c>
      <c r="BS6" s="296" t="s">
        <v>298</v>
      </c>
      <c r="BT6" s="296" t="s">
        <v>299</v>
      </c>
      <c r="BU6" s="296" t="s">
        <v>300</v>
      </c>
      <c r="BV6" s="296" t="s">
        <v>221</v>
      </c>
      <c r="BW6" s="296" t="s">
        <v>228</v>
      </c>
      <c r="BX6" s="296" t="s">
        <v>229</v>
      </c>
      <c r="BY6" s="297" t="s">
        <v>231</v>
      </c>
      <c r="BZ6" s="9"/>
      <c r="CA6" s="476" t="s">
        <v>101</v>
      </c>
      <c r="CB6" s="298">
        <v>150</v>
      </c>
      <c r="CC6" s="299">
        <v>0.85</v>
      </c>
      <c r="CD6" s="299" t="str">
        <f>IFERROR(VLOOKUP('Example "lot" sheet'!$CA6,FeedIngLst,7,FALSE),"-")</f>
        <v>-</v>
      </c>
      <c r="CE6" s="482">
        <v>16</v>
      </c>
      <c r="CF6" s="299">
        <f>CE6/$CE$13</f>
        <v>0.52892561983471076</v>
      </c>
      <c r="CG6" s="300">
        <f t="shared" ref="CG6:CG13" si="11">CE6*$R$15*$BQ$7/2000</f>
        <v>6.56</v>
      </c>
      <c r="CH6" s="301" t="str">
        <f>IFERROR('Example "lot" sheet'!$CB6/'Example "lot" sheet'!$CC6/(1-'Example "lot" sheet'!$CD6),"-")</f>
        <v>-</v>
      </c>
      <c r="CI6" s="9"/>
      <c r="CL6" s="9"/>
      <c r="CM6" s="254" t="str">
        <f>CA16</f>
        <v>Pasture supplement</v>
      </c>
      <c r="CN6" s="275">
        <f t="shared" ref="CN6:CN9" si="12">BQ8</f>
        <v>28</v>
      </c>
      <c r="CO6" s="276">
        <f>CG24</f>
        <v>19.515999999999998</v>
      </c>
      <c r="CP6" s="277">
        <f>CE24</f>
        <v>34</v>
      </c>
      <c r="CQ6" s="302">
        <f>CH25</f>
        <v>64.53159007476097</v>
      </c>
      <c r="CR6" s="9"/>
      <c r="CS6" s="9"/>
      <c r="CV6" s="9"/>
      <c r="CW6" s="484" t="s">
        <v>7</v>
      </c>
      <c r="CX6" s="485" t="s">
        <v>35</v>
      </c>
      <c r="CY6" s="487">
        <v>3.45</v>
      </c>
      <c r="CZ6" s="487" t="s">
        <v>307</v>
      </c>
      <c r="DA6" s="485">
        <v>2</v>
      </c>
      <c r="DB6" s="278">
        <f t="shared" ref="DB6:DB18" si="13">DA6*CY6</f>
        <v>6.9</v>
      </c>
      <c r="DC6" s="9"/>
      <c r="DD6" s="259" t="s">
        <v>307</v>
      </c>
      <c r="DE6" s="9"/>
      <c r="DF6" s="9"/>
      <c r="DI6" s="9"/>
      <c r="DJ6" s="484"/>
      <c r="DK6" s="489"/>
      <c r="DL6" s="9" t="str">
        <f t="shared" si="0"/>
        <v>-</v>
      </c>
      <c r="DM6" s="485"/>
      <c r="DN6" s="485"/>
      <c r="DO6" s="279" t="str">
        <f t="shared" ref="DO6:DO29" si="14">IFERROR(VLOOKUP(DN6,$CW$5:$DA$18,3,FALSE),"")</f>
        <v/>
      </c>
      <c r="DP6" s="485"/>
      <c r="DQ6" s="278" t="str">
        <f t="shared" ref="DQ6:DQ29" si="15">IFERROR(DP6*DO6,"")</f>
        <v/>
      </c>
      <c r="DR6" s="9"/>
      <c r="DS6" s="303">
        <f>AS2</f>
        <v>45290</v>
      </c>
      <c r="DT6" s="9"/>
      <c r="DU6" s="9"/>
      <c r="DX6" s="9"/>
      <c r="DY6" s="304" t="s">
        <v>248</v>
      </c>
      <c r="DZ6" s="305" t="str">
        <f ca="1">ROUND(MAX(AZ56,AX56,AV56,AS56,AR56),0)&amp; " pounds at $"&amp;ROUND('Example "lot" sheet'!AC15,0)&amp;" per CWT"</f>
        <v>749 pounds at $229 per CWT</v>
      </c>
      <c r="EA6" s="306"/>
      <c r="EB6" s="307">
        <f>AB15*AC15/100</f>
        <v>1321.7920000000001</v>
      </c>
      <c r="EC6" s="9"/>
      <c r="ED6" s="9"/>
      <c r="EE6" s="9"/>
      <c r="EF6" s="9"/>
      <c r="EG6" s="9"/>
      <c r="EJ6" s="9"/>
      <c r="EK6" s="281" t="s">
        <v>270</v>
      </c>
      <c r="EL6" s="282">
        <f>EB6-EB12-EB14</f>
        <v>201.24351473476614</v>
      </c>
      <c r="EM6" s="308"/>
      <c r="EN6" s="309"/>
      <c r="EO6" s="9"/>
      <c r="EP6" s="9"/>
      <c r="EQ6" s="9"/>
    </row>
    <row r="7" spans="1:147" ht="18.95" customHeight="1" x14ac:dyDescent="0.25">
      <c r="A7" s="614" t="s">
        <v>340</v>
      </c>
      <c r="B7" s="615"/>
      <c r="C7" s="615"/>
      <c r="D7" s="615"/>
      <c r="E7" s="615"/>
      <c r="F7" s="616"/>
      <c r="G7" s="283"/>
      <c r="H7" s="284"/>
      <c r="I7" s="285" t="s">
        <v>274</v>
      </c>
      <c r="J7" s="456">
        <v>50</v>
      </c>
      <c r="K7" s="286" t="s">
        <v>176</v>
      </c>
      <c r="L7" s="284"/>
      <c r="M7" s="283"/>
      <c r="N7" s="283"/>
      <c r="O7" s="259">
        <f>SUM(R5:R7)</f>
        <v>41</v>
      </c>
      <c r="P7" s="260">
        <v>3</v>
      </c>
      <c r="Q7" s="461">
        <v>45274</v>
      </c>
      <c r="R7" s="287">
        <f t="shared" si="1"/>
        <v>7</v>
      </c>
      <c r="S7" s="467" t="s">
        <v>366</v>
      </c>
      <c r="T7" s="464">
        <v>251</v>
      </c>
      <c r="U7" s="465">
        <v>257</v>
      </c>
      <c r="V7" s="468">
        <v>427</v>
      </c>
      <c r="W7" s="467">
        <v>248</v>
      </c>
      <c r="X7" s="262">
        <f t="shared" si="2"/>
        <v>7412.7199999999984</v>
      </c>
      <c r="Y7" s="263">
        <f t="shared" si="3"/>
        <v>1058.9599999999998</v>
      </c>
      <c r="Z7" s="264">
        <v>3</v>
      </c>
      <c r="AA7" s="474"/>
      <c r="AB7" s="474"/>
      <c r="AC7" s="467"/>
      <c r="AD7" s="262">
        <f t="shared" si="4"/>
        <v>0</v>
      </c>
      <c r="AE7" s="265">
        <f t="shared" si="5"/>
        <v>0</v>
      </c>
      <c r="AF7" s="266">
        <f t="shared" si="6"/>
        <v>0</v>
      </c>
      <c r="AG7" s="9"/>
      <c r="AH7" s="259" t="s">
        <v>135</v>
      </c>
      <c r="AI7" s="9"/>
      <c r="AJ7" s="9"/>
      <c r="AK7" s="9"/>
      <c r="AL7" s="283"/>
      <c r="AM7" s="259">
        <v>2</v>
      </c>
      <c r="AN7" s="310">
        <f>IF(AO7=AO6,AN6+1,VLOOKUP(AO7,$P$5:$U$14,5,FALSE))</f>
        <v>211</v>
      </c>
      <c r="AO7" s="9">
        <f t="shared" ref="AO7:AO38" si="16">IF(AM7&lt;=$O$5,$P$5,IF(AM7&lt;=$O$6,$P$6,IF(AM7&lt;=$O$7,$P$7,IF(AM7&lt;=$O$8,$P$8,IF(AM7&lt;=$O$9,$P$9,IF(AM7&lt;=$O$10,$P$10,IF(AM7&lt;=$O$11,$P$11,IF(AM7&lt;=$O$12,$P$12,IF(AM7&lt;=$O15,$P15,IF(AM7&lt;=$O$14,$P$14,"-"))))))))))</f>
        <v>1</v>
      </c>
      <c r="AP7" s="289">
        <v>45246</v>
      </c>
      <c r="AQ7" s="9" t="str">
        <f t="shared" ref="AQ7:AQ55" si="17">IFERROR(VLOOKUP(AO7,$P$5:$S$14,4,FALSE),"-")</f>
        <v>Steer</v>
      </c>
      <c r="AR7" s="453">
        <f t="shared" ref="AR7:AR46" ca="1" si="18">RANDBETWEEN(450,600)</f>
        <v>509</v>
      </c>
      <c r="AS7" s="453">
        <f t="shared" ref="AS7:AS46" ca="1" si="19">RANDBETWEEN(AR7+30,AR7+90)</f>
        <v>541</v>
      </c>
      <c r="AT7" s="229">
        <f t="shared" si="7"/>
        <v>44</v>
      </c>
      <c r="AU7" s="290">
        <f t="shared" ref="AU7:AU55" ca="1" si="20">IFERROR(IF((AS7-AR7)/AT7&lt;-3,"CHECK INPUTS",(AS7-AR7)/AT7),"N/A")</f>
        <v>0.72727272727272729</v>
      </c>
      <c r="AV7" s="453">
        <f t="shared" ref="AV7:AV46" ca="1" si="21">RANDBETWEEN(AS7+30,AS7+90)</f>
        <v>589</v>
      </c>
      <c r="AW7" s="290">
        <f t="shared" ref="AW7:AW55" ca="1" si="22">IFERROR(IF((AV7-AS7)/AW$4&lt;-3,"CHECK INPUTS",(AV7-AS7)/AW$4),"N/A")</f>
        <v>1.2</v>
      </c>
      <c r="AX7" s="453">
        <f t="shared" ref="AX7:AZ46" ca="1" si="23">RANDBETWEEN(AV7+30,AV7+90)</f>
        <v>662</v>
      </c>
      <c r="AY7" s="290">
        <f t="shared" ref="AY7:AY55" ca="1" si="24">IFERROR(IF((AX7-AV7)/AY$4&lt;-3,"CHECK INPUTS",(AX7-AV7)/AY$4),"N/A")</f>
        <v>1.6222222222222222</v>
      </c>
      <c r="AZ7" s="453">
        <f t="shared" ca="1" si="23"/>
        <v>705</v>
      </c>
      <c r="BA7" s="291">
        <f t="shared" ref="BA7:BA55" ca="1" si="25">IFERROR(IF((AZ7-AX7)/BA$4&lt;-3,"CHECK INPUTS",(AZ7-AX7)/BA$4),"N/A")</f>
        <v>1.303030303030303</v>
      </c>
      <c r="BB7" s="292">
        <f t="shared" ca="1" si="8"/>
        <v>196</v>
      </c>
      <c r="BC7" s="229">
        <f t="shared" ref="BC7:BC55" si="26">MAX($AR$2,$AS$2,$AV$2,$AX$2,$AZ$2)-AP7</f>
        <v>164</v>
      </c>
      <c r="BD7" s="293">
        <f t="shared" ref="BD7:BD55" ca="1" si="27">IFERROR((MAX(AZ7,AX7,AV7,AS7,AR7)-AR7)/BC7,)</f>
        <v>1.1951219512195121</v>
      </c>
      <c r="BE7" s="293">
        <f t="shared" si="9"/>
        <v>0</v>
      </c>
      <c r="BF7" s="294">
        <f ca="1">IFERROR(IF(ISBLANK(AR7),0,IF(OR(AR7=$AQ$57,AS7=$AQ$57,AV7=$AQ$57,AX7=$AQ$57,AZ7=$AQ$57),-VLOOKUP(AO7,$P$5:$Y$14,10,FALSE)-BC7*$CO$19,IF(ISBLANK(AR7),0,MAX(AZ7,AX7,AV7,AS7,AR7)*$AC$15/100-VLOOKUP(AO7,$P$5:$Y$14,10,FALSE))-BC7*$CO$19)),"-")</f>
        <v>455.6898383699405</v>
      </c>
      <c r="BG7" s="9"/>
      <c r="BH7" s="9"/>
      <c r="BI7" s="9"/>
      <c r="BJ7" s="9"/>
      <c r="BM7" s="9"/>
      <c r="BN7" s="476" t="s">
        <v>288</v>
      </c>
      <c r="BO7" s="477">
        <v>45241</v>
      </c>
      <c r="BP7" s="477">
        <v>45261</v>
      </c>
      <c r="BQ7" s="311">
        <f>IF('Example "lot" sheet'!$BP7-'Example "lot" sheet'!$BO7&gt;0,'Example "lot" sheet'!$BP7-'Example "lot" sheet'!$BO7,0)</f>
        <v>20</v>
      </c>
      <c r="BR7" s="312">
        <f>IF(ISBLANK('Example "lot" sheet'!$BO7),0,IF(OR(Feed!$D$3-'Example "lot" sheet'!$BO7&lt;0,'Example "lot" sheet'!$BP7&lt;Feed!$C$3),0,MIN('Example "lot" sheet'!$BP7,Feed!$D$3)-MAX(Feed!$C$3,'Example "lot" sheet'!$BO7)))</f>
        <v>0</v>
      </c>
      <c r="BS7" s="312">
        <f>IF(ISBLANK('Example "lot" sheet'!$BO7),0,IF(OR(Feed!$E$3-'Example "lot" sheet'!$BO7&lt;0,'Example "lot" sheet'!$BP7&lt;Feed!$D$3),0,MIN('Example "lot" sheet'!$BP7,Feed!$E$3)-MAX(Feed!$D$3,'Example "lot" sheet'!$BO7)))</f>
        <v>0</v>
      </c>
      <c r="BT7" s="312">
        <f>IF(ISBLANK('Example "lot" sheet'!$BO7),0,IF(OR(Feed!$F$3-'Example "lot" sheet'!$BO7&lt;0,'Example "lot" sheet'!$BP7&lt;Feed!$E$3),0,MIN('Example "lot" sheet'!$BP7,Feed!$F$3)-MAX(Feed!$E$3,'Example "lot" sheet'!$BO7)))</f>
        <v>0</v>
      </c>
      <c r="BU7" s="312">
        <f>IF('Example "lot" sheet'!$BP7&gt;Feed!$F$3,'Example "lot" sheet'!$BP7-Feed!$F$3,0)</f>
        <v>45261</v>
      </c>
      <c r="BV7" s="313">
        <f>'Example "lot" sheet'!CH14</f>
        <v>0</v>
      </c>
      <c r="BW7" s="314">
        <f>'Example "lot" sheet'!CH12</f>
        <v>78.359787947924048</v>
      </c>
      <c r="BX7" s="313">
        <f>'Example "lot" sheet'!$BV7-'Example "lot" sheet'!$BW7</f>
        <v>-78.359787947924048</v>
      </c>
      <c r="BY7" s="315">
        <f>'Example "lot" sheet'!CF12</f>
        <v>0</v>
      </c>
      <c r="BZ7" s="9"/>
      <c r="CA7" s="476" t="s">
        <v>103</v>
      </c>
      <c r="CB7" s="316">
        <v>240</v>
      </c>
      <c r="CC7" s="299">
        <v>0.8</v>
      </c>
      <c r="CD7" s="299" t="str">
        <f>IFERROR(VLOOKUP('Example "lot" sheet'!$CA7,FeedIngLst,7,FALSE),"-")</f>
        <v>-</v>
      </c>
      <c r="CE7" s="482">
        <v>8</v>
      </c>
      <c r="CF7" s="299">
        <f t="shared" ref="CF7:CF12" si="28">CE7/$CE$13</f>
        <v>0.26446280991735538</v>
      </c>
      <c r="CG7" s="300">
        <f t="shared" si="11"/>
        <v>3.28</v>
      </c>
      <c r="CH7" s="301" t="str">
        <f>IFERROR('Example "lot" sheet'!$CB7/'Example "lot" sheet'!$CC7/(1-'Example "lot" sheet'!$CD7),"-")</f>
        <v>-</v>
      </c>
      <c r="CI7" s="9"/>
      <c r="CL7" s="9"/>
      <c r="CM7" s="254" t="str">
        <f>CA27</f>
        <v>Mid-weight dry lot</v>
      </c>
      <c r="CN7" s="275">
        <f t="shared" si="12"/>
        <v>0</v>
      </c>
      <c r="CO7" s="276">
        <f>CG35</f>
        <v>0</v>
      </c>
      <c r="CP7" s="277">
        <f>CE35</f>
        <v>33</v>
      </c>
      <c r="CQ7" s="302">
        <f>CH36</f>
        <v>0</v>
      </c>
      <c r="CR7" s="9"/>
      <c r="CS7" s="9"/>
      <c r="CV7" s="9"/>
      <c r="CW7" s="484" t="s">
        <v>8</v>
      </c>
      <c r="CX7" s="485" t="s">
        <v>311</v>
      </c>
      <c r="CY7" s="487">
        <v>2.35</v>
      </c>
      <c r="CZ7" s="487" t="s">
        <v>307</v>
      </c>
      <c r="DA7" s="485">
        <v>1</v>
      </c>
      <c r="DB7" s="278">
        <f t="shared" si="13"/>
        <v>2.35</v>
      </c>
      <c r="DC7" s="9"/>
      <c r="DD7" s="259" t="s">
        <v>308</v>
      </c>
      <c r="DE7" s="9"/>
      <c r="DF7" s="9"/>
      <c r="DI7" s="9"/>
      <c r="DJ7" s="484"/>
      <c r="DK7" s="485"/>
      <c r="DL7" s="9" t="str">
        <f t="shared" si="0"/>
        <v>-</v>
      </c>
      <c r="DM7" s="485"/>
      <c r="DN7" s="485"/>
      <c r="DO7" s="279" t="str">
        <f t="shared" si="14"/>
        <v/>
      </c>
      <c r="DP7" s="485"/>
      <c r="DQ7" s="278" t="str">
        <f t="shared" si="15"/>
        <v/>
      </c>
      <c r="DR7" s="9"/>
      <c r="DS7" s="303">
        <f>AV2</f>
        <v>45332</v>
      </c>
      <c r="DT7" s="9"/>
      <c r="DU7" s="9"/>
      <c r="DX7" s="9"/>
      <c r="DY7" s="304" t="s">
        <v>245</v>
      </c>
      <c r="DZ7" s="305"/>
      <c r="EA7" s="306"/>
      <c r="EB7" s="307">
        <f ca="1">(SUM(AS58:AZ58)*J5*AVERAGE('Example "lot" sheet'!V15,'Example "lot" sheet'!AB15)/100-EB6)/R15</f>
        <v>-15.944325252832128</v>
      </c>
      <c r="EC7" s="9"/>
      <c r="ED7" s="9"/>
      <c r="EE7" s="9"/>
      <c r="EF7" s="9"/>
      <c r="EG7" s="9"/>
      <c r="EJ7" s="9"/>
      <c r="EK7" s="281" t="s">
        <v>271</v>
      </c>
      <c r="EL7" s="282">
        <f ca="1">IFERROR(EL6/MAX(AZ56,AX56,AV56,AS56,AR56),)</f>
        <v>0.26857259948177392</v>
      </c>
      <c r="EM7" s="308"/>
      <c r="EN7" s="309"/>
      <c r="EO7" s="9"/>
      <c r="EP7" s="9"/>
      <c r="EQ7" s="9"/>
    </row>
    <row r="8" spans="1:147" ht="18.75" x14ac:dyDescent="0.25">
      <c r="A8" s="614" t="s">
        <v>273</v>
      </c>
      <c r="B8" s="615"/>
      <c r="C8" s="615"/>
      <c r="D8" s="615"/>
      <c r="E8" s="615"/>
      <c r="F8" s="616"/>
      <c r="G8" s="283"/>
      <c r="H8" s="284"/>
      <c r="I8" s="285" t="s">
        <v>275</v>
      </c>
      <c r="J8" s="457" t="s">
        <v>168</v>
      </c>
      <c r="K8" s="286" t="s">
        <v>45</v>
      </c>
      <c r="L8" s="284"/>
      <c r="M8" s="283"/>
      <c r="N8" s="283"/>
      <c r="O8" s="259">
        <f>SUM(R5:R8)</f>
        <v>41</v>
      </c>
      <c r="P8" s="260">
        <v>4</v>
      </c>
      <c r="Q8" s="461"/>
      <c r="R8" s="287">
        <f t="shared" si="1"/>
        <v>0</v>
      </c>
      <c r="S8" s="467"/>
      <c r="T8" s="464"/>
      <c r="U8" s="465"/>
      <c r="V8" s="468"/>
      <c r="W8" s="467"/>
      <c r="X8" s="262">
        <f t="shared" si="2"/>
        <v>0</v>
      </c>
      <c r="Y8" s="263" t="str">
        <f t="shared" si="3"/>
        <v>-</v>
      </c>
      <c r="Z8" s="264">
        <v>4</v>
      </c>
      <c r="AA8" s="474"/>
      <c r="AB8" s="474"/>
      <c r="AC8" s="467"/>
      <c r="AD8" s="262">
        <f t="shared" si="4"/>
        <v>0</v>
      </c>
      <c r="AE8" s="265" t="str">
        <f t="shared" si="5"/>
        <v>-</v>
      </c>
      <c r="AF8" s="266" t="str">
        <f t="shared" si="6"/>
        <v>-</v>
      </c>
      <c r="AG8" s="9"/>
      <c r="AH8" s="259" t="s">
        <v>366</v>
      </c>
      <c r="AI8" s="9"/>
      <c r="AJ8" s="9"/>
      <c r="AK8" s="9"/>
      <c r="AL8" s="283"/>
      <c r="AM8" s="259">
        <v>3</v>
      </c>
      <c r="AN8" s="310">
        <f t="shared" ref="AN8:AN39" si="29">IF(AO8=AO7,AN7+1,VLOOKUP(AO8,$P$5:$U$14,5,FALSE))</f>
        <v>212</v>
      </c>
      <c r="AO8" s="9">
        <f t="shared" si="16"/>
        <v>1</v>
      </c>
      <c r="AP8" s="289">
        <v>45246</v>
      </c>
      <c r="AQ8" s="9" t="str">
        <f t="shared" si="17"/>
        <v>Steer</v>
      </c>
      <c r="AR8" s="453">
        <f t="shared" ca="1" si="18"/>
        <v>455</v>
      </c>
      <c r="AS8" s="453">
        <f t="shared" ca="1" si="19"/>
        <v>489</v>
      </c>
      <c r="AT8" s="229">
        <f t="shared" si="7"/>
        <v>44</v>
      </c>
      <c r="AU8" s="290">
        <f t="shared" ca="1" si="20"/>
        <v>0.77272727272727271</v>
      </c>
      <c r="AV8" s="453">
        <f t="shared" ca="1" si="21"/>
        <v>521</v>
      </c>
      <c r="AW8" s="290">
        <f t="shared" ca="1" si="22"/>
        <v>0.8</v>
      </c>
      <c r="AX8" s="453">
        <f t="shared" ca="1" si="23"/>
        <v>551</v>
      </c>
      <c r="AY8" s="290">
        <f t="shared" ca="1" si="24"/>
        <v>0.66666666666666663</v>
      </c>
      <c r="AZ8" s="453">
        <f t="shared" ca="1" si="23"/>
        <v>619</v>
      </c>
      <c r="BA8" s="291">
        <f t="shared" ca="1" si="25"/>
        <v>2.0606060606060606</v>
      </c>
      <c r="BB8" s="292">
        <f t="shared" ca="1" si="8"/>
        <v>164</v>
      </c>
      <c r="BC8" s="229">
        <f t="shared" si="26"/>
        <v>164</v>
      </c>
      <c r="BD8" s="293">
        <f t="shared" ca="1" si="27"/>
        <v>1</v>
      </c>
      <c r="BE8" s="293">
        <f t="shared" si="9"/>
        <v>0</v>
      </c>
      <c r="BF8" s="294">
        <f t="shared" ref="BF8:BF55" ca="1" si="30">IFERROR(IF(ISBLANK(AR8),0,IF(OR(AR8=$AQ$57,AS8=$AQ$57,AV8=$AQ$57,AX8=$AQ$57,AZ8=$AQ$57),-VLOOKUP(AO8,$P$5:$Y$14,10,FALSE)-BC8*$CO$19,IF(ISBLANK(AR8),0,MAX(AZ8,AX8,AV8,AS8,AR8)*$AC$15/100-VLOOKUP(AO8,$P$5:$Y$14,10,FALSE))-BC8*$CO$19)),"-")</f>
        <v>258.45879473326147</v>
      </c>
      <c r="BG8" s="9"/>
      <c r="BH8" s="9"/>
      <c r="BI8" s="9"/>
      <c r="BJ8" s="9"/>
      <c r="BM8" s="9"/>
      <c r="BN8" s="476" t="s">
        <v>289</v>
      </c>
      <c r="BO8" s="477">
        <v>45261</v>
      </c>
      <c r="BP8" s="477">
        <v>45289</v>
      </c>
      <c r="BQ8" s="311">
        <f>IF('Example "lot" sheet'!$BP8-'Example "lot" sheet'!$BO8&gt;0,'Example "lot" sheet'!$BP8-'Example "lot" sheet'!$BO8,0)</f>
        <v>28</v>
      </c>
      <c r="BR8" s="312">
        <f>IF(ISBLANK('Example "lot" sheet'!$BO8),0,IF(OR(Feed!$D$3-'Example "lot" sheet'!$BO8&lt;0,'Example "lot" sheet'!$BP8&lt;Feed!$C$3),0,MIN('Example "lot" sheet'!$BP8,Feed!$D$3)-MAX(Feed!$C$3,'Example "lot" sheet'!$BO8)))</f>
        <v>0</v>
      </c>
      <c r="BS8" s="312">
        <f>IF(ISBLANK('Example "lot" sheet'!$BO8),0,IF(OR(Feed!$E$3-'Example "lot" sheet'!$BO8&lt;0,'Example "lot" sheet'!$BP8&lt;Feed!$D$3),0,MIN('Example "lot" sheet'!$BP8,Feed!$E$3)-MAX(Feed!$D$3,'Example "lot" sheet'!$BO8)))</f>
        <v>0</v>
      </c>
      <c r="BT8" s="312">
        <f>IF(ISBLANK('Example "lot" sheet'!$BO8),0,IF(OR(Feed!$F$3-'Example "lot" sheet'!$BO8&lt;0,'Example "lot" sheet'!$BP8&lt;Feed!$E$3),0,MIN('Example "lot" sheet'!$BP8,Feed!$F$3)-MAX(Feed!$E$3,'Example "lot" sheet'!$BO8)))</f>
        <v>0</v>
      </c>
      <c r="BU8" s="312">
        <f>IF('Example "lot" sheet'!$BP8&gt;Feed!$F$3,'Example "lot" sheet'!$BP8-Feed!$F$3,0)</f>
        <v>45289</v>
      </c>
      <c r="BV8" s="313">
        <f>'Example "lot" sheet'!CH25</f>
        <v>64.53159007476097</v>
      </c>
      <c r="BW8" s="314">
        <f>'Example "lot" sheet'!CH23</f>
        <v>78.359787947924048</v>
      </c>
      <c r="BX8" s="313">
        <f>'Example "lot" sheet'!$BV8-'Example "lot" sheet'!$BW8</f>
        <v>-13.828197873163077</v>
      </c>
      <c r="BY8" s="315">
        <f>'Example "lot" sheet'!CF23</f>
        <v>0.82352941176470584</v>
      </c>
      <c r="BZ8" s="9"/>
      <c r="CA8" s="476" t="s">
        <v>217</v>
      </c>
      <c r="CB8" s="316">
        <v>95</v>
      </c>
      <c r="CC8" s="299">
        <v>0.88</v>
      </c>
      <c r="CD8" s="299" t="str">
        <f>IFERROR(VLOOKUP('Example "lot" sheet'!$CA8,FeedIngLst,7,FALSE),"-")</f>
        <v>-</v>
      </c>
      <c r="CE8" s="482">
        <v>6</v>
      </c>
      <c r="CF8" s="299">
        <f t="shared" si="28"/>
        <v>0.19834710743801653</v>
      </c>
      <c r="CG8" s="300">
        <f t="shared" si="11"/>
        <v>2.46</v>
      </c>
      <c r="CH8" s="301" t="str">
        <f>IFERROR('Example "lot" sheet'!$CB8/'Example "lot" sheet'!$CC8/(1-'Example "lot" sheet'!$CD8),"-")</f>
        <v>-</v>
      </c>
      <c r="CI8" s="9"/>
      <c r="CL8" s="9"/>
      <c r="CM8" s="254" t="str">
        <f>CA38</f>
        <v>Finisher</v>
      </c>
      <c r="CN8" s="275">
        <f t="shared" si="12"/>
        <v>0</v>
      </c>
      <c r="CO8" s="276">
        <f>CG46</f>
        <v>0</v>
      </c>
      <c r="CP8" s="277">
        <f>CE46</f>
        <v>0</v>
      </c>
      <c r="CQ8" s="302">
        <f>CH47</f>
        <v>0</v>
      </c>
      <c r="CR8" s="9"/>
      <c r="CS8" s="9"/>
      <c r="CV8" s="9"/>
      <c r="CW8" s="484" t="s">
        <v>34</v>
      </c>
      <c r="CX8" s="485" t="s">
        <v>312</v>
      </c>
      <c r="CY8" s="487">
        <v>4.54</v>
      </c>
      <c r="CZ8" s="487" t="s">
        <v>307</v>
      </c>
      <c r="DA8" s="485">
        <v>2</v>
      </c>
      <c r="DB8" s="278">
        <f t="shared" si="13"/>
        <v>9.08</v>
      </c>
      <c r="DC8" s="9"/>
      <c r="DD8" s="9"/>
      <c r="DE8" s="9"/>
      <c r="DF8" s="9"/>
      <c r="DI8" s="9"/>
      <c r="DJ8" s="484"/>
      <c r="DK8" s="485"/>
      <c r="DL8" s="9" t="str">
        <f t="shared" si="0"/>
        <v>-</v>
      </c>
      <c r="DM8" s="485"/>
      <c r="DN8" s="485"/>
      <c r="DO8" s="279" t="str">
        <f t="shared" si="14"/>
        <v/>
      </c>
      <c r="DP8" s="485"/>
      <c r="DQ8" s="278" t="str">
        <f t="shared" si="15"/>
        <v/>
      </c>
      <c r="DR8" s="9"/>
      <c r="DS8" s="303">
        <f>AX2</f>
        <v>45376</v>
      </c>
      <c r="DT8" s="9"/>
      <c r="DU8" s="9"/>
      <c r="DX8" s="9"/>
      <c r="DY8" s="304" t="s">
        <v>244</v>
      </c>
      <c r="DZ8" s="306"/>
      <c r="EA8" s="306"/>
      <c r="EB8" s="307">
        <f ca="1">-(SUM(AS57:AZ57)*EB6)/R15</f>
        <v>-32.238829268292683</v>
      </c>
      <c r="EC8" s="9"/>
      <c r="ED8" s="9"/>
      <c r="EE8" s="9"/>
      <c r="EF8" s="9"/>
      <c r="EG8" s="9"/>
      <c r="EJ8" s="9"/>
      <c r="EK8" s="281" t="s">
        <v>266</v>
      </c>
      <c r="EL8" s="317">
        <f ca="1">IFERROR((EB24-EB7-EB8-EB9)/MAX(AZ56,AX56,AV56,AS56,AR56),)</f>
        <v>1.8595137744121382</v>
      </c>
      <c r="EM8" s="9"/>
      <c r="EN8" s="9"/>
      <c r="EO8" s="9"/>
      <c r="EP8" s="9"/>
      <c r="EQ8" s="9"/>
    </row>
    <row r="9" spans="1:147" ht="18.95" customHeight="1" x14ac:dyDescent="0.25">
      <c r="A9" s="614" t="s">
        <v>281</v>
      </c>
      <c r="B9" s="615"/>
      <c r="C9" s="615"/>
      <c r="D9" s="615"/>
      <c r="E9" s="615"/>
      <c r="F9" s="616"/>
      <c r="G9" s="283"/>
      <c r="H9" s="284"/>
      <c r="I9" s="318" t="s">
        <v>338</v>
      </c>
      <c r="J9" s="456">
        <v>40</v>
      </c>
      <c r="K9" s="319" t="s">
        <v>176</v>
      </c>
      <c r="L9" s="284"/>
      <c r="M9" s="283"/>
      <c r="N9" s="283"/>
      <c r="O9" s="259">
        <f>SUM(R5:R9)</f>
        <v>41</v>
      </c>
      <c r="P9" s="260">
        <v>5</v>
      </c>
      <c r="Q9" s="461" t="str">
        <f t="shared" ref="Q9:Q14" si="31">IFERROR(VLOOKUP(P9,AO10:AP59,2,FALSE),"")</f>
        <v/>
      </c>
      <c r="R9" s="287">
        <f t="shared" si="1"/>
        <v>0</v>
      </c>
      <c r="S9" s="467" t="str">
        <f t="shared" ref="S9:S14" si="32">IFERROR(VLOOKUP(P9,$AO$6:$AQ$55,3,FALSE),"")</f>
        <v/>
      </c>
      <c r="T9" s="464"/>
      <c r="U9" s="465"/>
      <c r="V9" s="468" t="str">
        <f t="shared" ref="V9:V14" si="33">IFERROR(AVERAGEIF($AO$6:$AO$55,P9,$AR$6:$AR$55),"")</f>
        <v/>
      </c>
      <c r="W9" s="467" t="str">
        <f>IFERROR(AVERAGEIF($AO$6:$AO$55,P9,#REF!)*100,"")</f>
        <v/>
      </c>
      <c r="X9" s="262">
        <f t="shared" si="2"/>
        <v>0</v>
      </c>
      <c r="Y9" s="263" t="str">
        <f t="shared" ref="Y9:Y14" si="34">IFERROR(X9/R9,"-")</f>
        <v>-</v>
      </c>
      <c r="Z9" s="264">
        <v>5</v>
      </c>
      <c r="AA9" s="474"/>
      <c r="AB9" s="474"/>
      <c r="AC9" s="467"/>
      <c r="AD9" s="262">
        <f t="shared" si="4"/>
        <v>0</v>
      </c>
      <c r="AE9" s="265" t="str">
        <f t="shared" si="5"/>
        <v>-</v>
      </c>
      <c r="AF9" s="266" t="str">
        <f t="shared" si="6"/>
        <v>-</v>
      </c>
      <c r="AG9" s="9"/>
      <c r="AH9" s="259" t="s">
        <v>367</v>
      </c>
      <c r="AI9" s="9"/>
      <c r="AJ9" s="9"/>
      <c r="AK9" s="9"/>
      <c r="AL9" s="283"/>
      <c r="AM9" s="259">
        <v>4</v>
      </c>
      <c r="AN9" s="310">
        <f t="shared" si="29"/>
        <v>213</v>
      </c>
      <c r="AO9" s="9">
        <f t="shared" si="16"/>
        <v>1</v>
      </c>
      <c r="AP9" s="289">
        <v>45246</v>
      </c>
      <c r="AQ9" s="9" t="str">
        <f t="shared" si="17"/>
        <v>Steer</v>
      </c>
      <c r="AR9" s="453">
        <f t="shared" ca="1" si="18"/>
        <v>561</v>
      </c>
      <c r="AS9" s="453">
        <f t="shared" ca="1" si="19"/>
        <v>591</v>
      </c>
      <c r="AT9" s="229">
        <f t="shared" si="7"/>
        <v>44</v>
      </c>
      <c r="AU9" s="290">
        <f t="shared" ca="1" si="20"/>
        <v>0.68181818181818177</v>
      </c>
      <c r="AV9" s="453">
        <f t="shared" ca="1" si="21"/>
        <v>659</v>
      </c>
      <c r="AW9" s="290">
        <f t="shared" ca="1" si="22"/>
        <v>1.7</v>
      </c>
      <c r="AX9" s="453">
        <f t="shared" ca="1" si="23"/>
        <v>732</v>
      </c>
      <c r="AY9" s="290">
        <f t="shared" ca="1" si="24"/>
        <v>1.6222222222222222</v>
      </c>
      <c r="AZ9" s="453">
        <f t="shared" ca="1" si="23"/>
        <v>778</v>
      </c>
      <c r="BA9" s="291">
        <f t="shared" ca="1" si="25"/>
        <v>1.393939393939394</v>
      </c>
      <c r="BB9" s="292">
        <f t="shared" ca="1" si="8"/>
        <v>217</v>
      </c>
      <c r="BC9" s="229">
        <f t="shared" si="26"/>
        <v>164</v>
      </c>
      <c r="BD9" s="293">
        <f t="shared" ca="1" si="27"/>
        <v>1.3231707317073171</v>
      </c>
      <c r="BE9" s="293">
        <f t="shared" si="9"/>
        <v>0</v>
      </c>
      <c r="BF9" s="294">
        <f t="shared" ca="1" si="30"/>
        <v>623.10688703828453</v>
      </c>
      <c r="BG9" s="9"/>
      <c r="BH9" s="9"/>
      <c r="BI9" s="9"/>
      <c r="BJ9" s="9"/>
      <c r="BM9" s="9"/>
      <c r="BN9" s="476" t="s">
        <v>290</v>
      </c>
      <c r="BO9" s="477"/>
      <c r="BP9" s="477"/>
      <c r="BQ9" s="311">
        <f>IF('Example "lot" sheet'!$BP9-'Example "lot" sheet'!$BO9&gt;0,'Example "lot" sheet'!$BP9-'Example "lot" sheet'!$BO9,0)</f>
        <v>0</v>
      </c>
      <c r="BR9" s="312">
        <f>IF(ISBLANK('Example "lot" sheet'!$BO9),0,IF(OR(Feed!$D$3-'Example "lot" sheet'!$BO9&lt;0,'Example "lot" sheet'!$BP9&lt;Feed!$C$3),0,MIN('Example "lot" sheet'!$BP9,Feed!$D$3)-MAX(Feed!$C$3,'Example "lot" sheet'!$BO9)))</f>
        <v>0</v>
      </c>
      <c r="BS9" s="312">
        <f>IF(ISBLANK('Example "lot" sheet'!$BO9),0,IF(OR(Feed!$E$3-'Example "lot" sheet'!$BO9&lt;0,'Example "lot" sheet'!$BP9&lt;Feed!$D$3),0,MIN('Example "lot" sheet'!$BP9,Feed!$E$3)-MAX(Feed!$D$3,'Example "lot" sheet'!$BO9)))</f>
        <v>0</v>
      </c>
      <c r="BT9" s="312">
        <f>IF(ISBLANK('Example "lot" sheet'!$BO9),0,IF(OR(Feed!$F$3-'Example "lot" sheet'!$BO9&lt;0,'Example "lot" sheet'!$BP9&lt;Feed!$E$3),0,MIN('Example "lot" sheet'!$BP9,Feed!$F$3)-MAX(Feed!$E$3,'Example "lot" sheet'!$BO9)))</f>
        <v>0</v>
      </c>
      <c r="BU9" s="312">
        <f>IF('Example "lot" sheet'!$BP9&gt;Feed!$F$3,'Example "lot" sheet'!$BP9-Feed!$F$3,0)</f>
        <v>0</v>
      </c>
      <c r="BV9" s="313">
        <f>'Example "lot" sheet'!CH36</f>
        <v>0</v>
      </c>
      <c r="BW9" s="314">
        <f>'Example "lot" sheet'!CH34</f>
        <v>0</v>
      </c>
      <c r="BX9" s="313">
        <f>'Example "lot" sheet'!$BV9-'Example "lot" sheet'!$BW9</f>
        <v>0</v>
      </c>
      <c r="BY9" s="315">
        <f>'Example "lot" sheet'!CF34</f>
        <v>0</v>
      </c>
      <c r="BZ9" s="9"/>
      <c r="CA9" s="476" t="s">
        <v>213</v>
      </c>
      <c r="CB9" s="316">
        <v>600</v>
      </c>
      <c r="CC9" s="299">
        <v>1</v>
      </c>
      <c r="CD9" s="299" t="str">
        <f>IFERROR(VLOOKUP('Example "lot" sheet'!$CA9,FeedIngLst,7,FALSE),"-")</f>
        <v>-</v>
      </c>
      <c r="CE9" s="482">
        <v>0.25</v>
      </c>
      <c r="CF9" s="299">
        <f t="shared" si="28"/>
        <v>8.2644628099173556E-3</v>
      </c>
      <c r="CG9" s="300">
        <f t="shared" si="11"/>
        <v>0.10249999999999999</v>
      </c>
      <c r="CH9" s="301" t="str">
        <f>IFERROR('Example "lot" sheet'!$CB9/'Example "lot" sheet'!$CC9/(1-'Example "lot" sheet'!$CD9),"-")</f>
        <v>-</v>
      </c>
      <c r="CI9" s="9"/>
      <c r="CL9" s="9"/>
      <c r="CM9" s="254" t="str">
        <f>CA49</f>
        <v>-</v>
      </c>
      <c r="CN9" s="275">
        <f t="shared" si="12"/>
        <v>0</v>
      </c>
      <c r="CO9" s="276">
        <f>CG57</f>
        <v>0</v>
      </c>
      <c r="CP9" s="277">
        <f>CE57</f>
        <v>0</v>
      </c>
      <c r="CQ9" s="302">
        <f>CH58</f>
        <v>0</v>
      </c>
      <c r="CR9" s="320"/>
      <c r="CS9" s="9"/>
      <c r="CV9" s="9"/>
      <c r="CW9" s="484" t="s">
        <v>313</v>
      </c>
      <c r="CX9" s="485" t="s">
        <v>314</v>
      </c>
      <c r="CY9" s="487">
        <v>9.3000000000000007</v>
      </c>
      <c r="CZ9" s="487" t="s">
        <v>307</v>
      </c>
      <c r="DA9" s="485">
        <v>1</v>
      </c>
      <c r="DB9" s="278">
        <f t="shared" si="13"/>
        <v>9.3000000000000007</v>
      </c>
      <c r="DC9" s="9"/>
      <c r="DD9" s="9"/>
      <c r="DE9" s="9"/>
      <c r="DF9" s="9"/>
      <c r="DI9" s="9"/>
      <c r="DJ9" s="484"/>
      <c r="DK9" s="485"/>
      <c r="DL9" s="9" t="str">
        <f t="shared" si="0"/>
        <v>-</v>
      </c>
      <c r="DM9" s="485"/>
      <c r="DN9" s="485"/>
      <c r="DO9" s="279" t="str">
        <f t="shared" si="14"/>
        <v/>
      </c>
      <c r="DP9" s="485"/>
      <c r="DQ9" s="278" t="str">
        <f t="shared" si="15"/>
        <v/>
      </c>
      <c r="DR9" s="9"/>
      <c r="DS9" s="303">
        <f>AZ2</f>
        <v>45410</v>
      </c>
      <c r="DT9" s="9"/>
      <c r="DU9" s="9"/>
      <c r="DX9" s="9"/>
      <c r="DY9" s="304" t="s">
        <v>242</v>
      </c>
      <c r="DZ9" s="306" t="str">
        <f>J16*100&amp;"% of total sales"</f>
        <v>3% of total sales</v>
      </c>
      <c r="EA9" s="306"/>
      <c r="EB9" s="307">
        <f ca="1">-J16*(EB6-EB7-EB8)</f>
        <v>-41.099254635633748</v>
      </c>
      <c r="EC9" s="9"/>
      <c r="ED9" s="9"/>
      <c r="EE9" s="9"/>
      <c r="EF9" s="9"/>
      <c r="EG9" s="9"/>
      <c r="EJ9" s="9"/>
      <c r="EK9" s="281" t="s">
        <v>267</v>
      </c>
      <c r="EL9" s="321">
        <f ca="1">IFERROR(SUM(EB14:EB23,EB7:EB8)/BB56,)</f>
        <v>0.87332464128905796</v>
      </c>
      <c r="EM9" s="9"/>
      <c r="EN9" s="9"/>
      <c r="EO9" s="320"/>
      <c r="EP9" s="9"/>
      <c r="EQ9" s="9"/>
    </row>
    <row r="10" spans="1:147" ht="18.75" x14ac:dyDescent="0.25">
      <c r="A10" s="614" t="s">
        <v>263</v>
      </c>
      <c r="B10" s="615"/>
      <c r="C10" s="615"/>
      <c r="D10" s="615"/>
      <c r="E10" s="615"/>
      <c r="F10" s="616"/>
      <c r="G10" s="283"/>
      <c r="H10" s="284"/>
      <c r="I10" s="318" t="s">
        <v>335</v>
      </c>
      <c r="J10" s="456">
        <v>4</v>
      </c>
      <c r="K10" s="319" t="s">
        <v>46</v>
      </c>
      <c r="L10" s="284"/>
      <c r="M10" s="283"/>
      <c r="N10" s="283"/>
      <c r="O10" s="259">
        <f>SUM(R5:R10)</f>
        <v>41</v>
      </c>
      <c r="P10" s="260">
        <v>6</v>
      </c>
      <c r="Q10" s="461" t="str">
        <f t="shared" si="31"/>
        <v/>
      </c>
      <c r="R10" s="287">
        <f t="shared" si="1"/>
        <v>0</v>
      </c>
      <c r="S10" s="467" t="str">
        <f t="shared" si="32"/>
        <v/>
      </c>
      <c r="T10" s="464"/>
      <c r="U10" s="465"/>
      <c r="V10" s="468" t="str">
        <f t="shared" si="33"/>
        <v/>
      </c>
      <c r="W10" s="467" t="str">
        <f>IFERROR(AVERAGEIF($AO$6:$AO$55,P10,#REF!)*100,"")</f>
        <v/>
      </c>
      <c r="X10" s="262">
        <f t="shared" si="2"/>
        <v>0</v>
      </c>
      <c r="Y10" s="263" t="str">
        <f t="shared" si="34"/>
        <v>-</v>
      </c>
      <c r="Z10" s="264">
        <v>6</v>
      </c>
      <c r="AA10" s="474"/>
      <c r="AB10" s="474"/>
      <c r="AC10" s="467"/>
      <c r="AD10" s="262">
        <f t="shared" si="4"/>
        <v>0</v>
      </c>
      <c r="AE10" s="265" t="str">
        <f t="shared" si="5"/>
        <v>-</v>
      </c>
      <c r="AF10" s="266" t="str">
        <f t="shared" si="6"/>
        <v>-</v>
      </c>
      <c r="AG10" s="9"/>
      <c r="AH10" s="259" t="s">
        <v>368</v>
      </c>
      <c r="AI10" s="9"/>
      <c r="AJ10" s="9"/>
      <c r="AK10" s="9"/>
      <c r="AL10" s="283"/>
      <c r="AM10" s="259">
        <v>5</v>
      </c>
      <c r="AN10" s="310">
        <f t="shared" si="29"/>
        <v>214</v>
      </c>
      <c r="AO10" s="9">
        <f t="shared" si="16"/>
        <v>1</v>
      </c>
      <c r="AP10" s="289">
        <v>45246</v>
      </c>
      <c r="AQ10" s="9" t="str">
        <f t="shared" si="17"/>
        <v>Steer</v>
      </c>
      <c r="AR10" s="453">
        <f t="shared" ca="1" si="18"/>
        <v>566</v>
      </c>
      <c r="AS10" s="453">
        <f t="shared" ca="1" si="19"/>
        <v>631</v>
      </c>
      <c r="AT10" s="229">
        <f t="shared" si="7"/>
        <v>44</v>
      </c>
      <c r="AU10" s="290">
        <f t="shared" ca="1" si="20"/>
        <v>1.4772727272727273</v>
      </c>
      <c r="AV10" s="453">
        <f t="shared" ca="1" si="21"/>
        <v>714</v>
      </c>
      <c r="AW10" s="290">
        <f t="shared" ca="1" si="22"/>
        <v>2.0750000000000002</v>
      </c>
      <c r="AX10" s="453">
        <f t="shared" ca="1" si="23"/>
        <v>784</v>
      </c>
      <c r="AY10" s="290">
        <f t="shared" ca="1" si="24"/>
        <v>1.5555555555555556</v>
      </c>
      <c r="AZ10" s="453">
        <f t="shared" ca="1" si="23"/>
        <v>842</v>
      </c>
      <c r="BA10" s="291">
        <f t="shared" ca="1" si="25"/>
        <v>1.7575757575757576</v>
      </c>
      <c r="BB10" s="292">
        <f t="shared" ca="1" si="8"/>
        <v>276</v>
      </c>
      <c r="BC10" s="229">
        <f t="shared" si="26"/>
        <v>164</v>
      </c>
      <c r="BD10" s="293">
        <f t="shared" ca="1" si="27"/>
        <v>1.6829268292682926</v>
      </c>
      <c r="BE10" s="293">
        <f t="shared" si="9"/>
        <v>0</v>
      </c>
      <c r="BF10" s="294">
        <f t="shared" ca="1" si="30"/>
        <v>769.88347765162723</v>
      </c>
      <c r="BG10" s="9"/>
      <c r="BH10" s="9"/>
      <c r="BI10" s="9"/>
      <c r="BJ10" s="9"/>
      <c r="BM10" s="9"/>
      <c r="BN10" s="476" t="s">
        <v>291</v>
      </c>
      <c r="BO10" s="478"/>
      <c r="BP10" s="478"/>
      <c r="BQ10" s="311">
        <f>IF('Example "lot" sheet'!$BP10-'Example "lot" sheet'!$BO10&gt;0,'Example "lot" sheet'!$BP10-'Example "lot" sheet'!$BO10,0)</f>
        <v>0</v>
      </c>
      <c r="BR10" s="312">
        <f>IF(ISBLANK('Example "lot" sheet'!$BO10),0,IF(OR(Feed!$D$3-'Example "lot" sheet'!$BO10&lt;0,'Example "lot" sheet'!$BP10&lt;Feed!$C$3),0,MIN('Example "lot" sheet'!$BP10,Feed!$D$3)-MAX(Feed!$C$3,'Example "lot" sheet'!$BO10)))</f>
        <v>0</v>
      </c>
      <c r="BS10" s="312">
        <f>IF(ISBLANK('Example "lot" sheet'!$BO10),0,IF(OR(Feed!$E$3-'Example "lot" sheet'!$BO10&lt;0,'Example "lot" sheet'!$BP10&lt;Feed!$D$3),0,MIN('Example "lot" sheet'!$BP10,Feed!$E$3)-MAX(Feed!$D$3,'Example "lot" sheet'!$BO10)))</f>
        <v>0</v>
      </c>
      <c r="BT10" s="312">
        <f>IF(ISBLANK('Example "lot" sheet'!$BO10),0,IF(OR(Feed!$F$3-'Example "lot" sheet'!$BO10&lt;0,'Example "lot" sheet'!$BP10&lt;Feed!$E$3),0,MIN('Example "lot" sheet'!$BP10,Feed!$F$3)-MAX(Feed!$E$3,'Example "lot" sheet'!$BO10)))</f>
        <v>0</v>
      </c>
      <c r="BU10" s="312">
        <f>IF('Example "lot" sheet'!$BP10&gt;Feed!$F$3,'Example "lot" sheet'!$BP10-Feed!$F$3,0)</f>
        <v>0</v>
      </c>
      <c r="BV10" s="313">
        <f>'Example "lot" sheet'!CH47</f>
        <v>0</v>
      </c>
      <c r="BW10" s="314">
        <f>'Example "lot" sheet'!CH45</f>
        <v>0</v>
      </c>
      <c r="BX10" s="313">
        <f>'Example "lot" sheet'!$BV10-'Example "lot" sheet'!$BW10</f>
        <v>0</v>
      </c>
      <c r="BY10" s="315">
        <f>'Example "lot" sheet'!CF45</f>
        <v>0</v>
      </c>
      <c r="BZ10" s="9"/>
      <c r="CA10" s="476"/>
      <c r="CB10" s="316">
        <f>IFERROR(VLOOKUP(CA10,Feed!$B$4:$H$19,2,FALSE)*($BR$7/$BQ$7)+VLOOKUP(CA10,Feed!$B$4:$H$19,3,FALSE)*($BS$7/$BQ$7)+VLOOKUP(CA10,Feed!$B$4:$H$19,4,FALSE)*($BT$7/$BQ$7)+VLOOKUP(CA10,Feed!$B$4:$H$19,5,FALSE)*($BU$7/$BQ$7),0)</f>
        <v>0</v>
      </c>
      <c r="CC10" s="299" t="str">
        <f>IFERROR(VLOOKUP('Example "lot" sheet'!$CA10,FeedIngLst,6,FALSE),"-")</f>
        <v>-</v>
      </c>
      <c r="CD10" s="299" t="str">
        <f>IFERROR(VLOOKUP('Example "lot" sheet'!$CA10,FeedIngLst,7,FALSE),"-")</f>
        <v>-</v>
      </c>
      <c r="CE10" s="482"/>
      <c r="CF10" s="299">
        <f t="shared" si="28"/>
        <v>0</v>
      </c>
      <c r="CG10" s="300">
        <f t="shared" si="11"/>
        <v>0</v>
      </c>
      <c r="CH10" s="301" t="str">
        <f>IFERROR('Example "lot" sheet'!$CB10/'Example "lot" sheet'!$CC10/(1-'Example "lot" sheet'!$CD10),"-")</f>
        <v>-</v>
      </c>
      <c r="CI10" s="9"/>
      <c r="CL10" s="9"/>
      <c r="CM10" s="322" t="s">
        <v>4</v>
      </c>
      <c r="CN10" s="323">
        <f>SUM(CN5:CN9)</f>
        <v>48</v>
      </c>
      <c r="CO10" s="324">
        <f>SUM(CO5:CO9)</f>
        <v>31.918499999999998</v>
      </c>
      <c r="CP10" s="9"/>
      <c r="CQ10" s="9"/>
      <c r="CR10" s="9"/>
      <c r="CS10" s="9"/>
      <c r="CV10" s="9"/>
      <c r="CW10" s="484" t="s">
        <v>316</v>
      </c>
      <c r="CX10" s="485" t="s">
        <v>317</v>
      </c>
      <c r="CY10" s="487">
        <v>0.4</v>
      </c>
      <c r="CZ10" s="487" t="s">
        <v>307</v>
      </c>
      <c r="DA10" s="485">
        <v>2</v>
      </c>
      <c r="DB10" s="278">
        <f t="shared" si="13"/>
        <v>0.8</v>
      </c>
      <c r="DC10" s="9"/>
      <c r="DD10" s="9"/>
      <c r="DE10" s="9"/>
      <c r="DF10" s="9"/>
      <c r="DI10" s="9"/>
      <c r="DJ10" s="484"/>
      <c r="DK10" s="489"/>
      <c r="DL10" s="9" t="str">
        <f t="shared" si="0"/>
        <v>-</v>
      </c>
      <c r="DM10" s="485"/>
      <c r="DN10" s="485"/>
      <c r="DO10" s="279" t="str">
        <f t="shared" si="14"/>
        <v/>
      </c>
      <c r="DP10" s="485"/>
      <c r="DQ10" s="278" t="str">
        <f t="shared" si="15"/>
        <v/>
      </c>
      <c r="DR10" s="9"/>
      <c r="DS10" s="9"/>
      <c r="DT10" s="9"/>
      <c r="DU10" s="9"/>
      <c r="DX10" s="9"/>
      <c r="DY10" s="325"/>
      <c r="DZ10" s="326"/>
      <c r="EA10" s="326" t="s">
        <v>252</v>
      </c>
      <c r="EB10" s="327">
        <f ca="1">SUM(EB6:EB9)</f>
        <v>1232.5095908432415</v>
      </c>
      <c r="EC10" s="9"/>
      <c r="ED10" s="9"/>
      <c r="EE10" s="9"/>
      <c r="EF10" s="9"/>
      <c r="EG10" s="9"/>
      <c r="EJ10" s="9"/>
      <c r="EK10" s="281" t="s">
        <v>268</v>
      </c>
      <c r="EL10" s="328">
        <f ca="1">IFERROR((EB6-EB12)/CO12,)</f>
        <v>0.97926887890320602</v>
      </c>
      <c r="EM10" s="9"/>
      <c r="EN10" s="9"/>
      <c r="EO10" s="9"/>
      <c r="EP10" s="9"/>
      <c r="EQ10" s="9"/>
    </row>
    <row r="11" spans="1:147" ht="18.95" customHeight="1" thickBot="1" x14ac:dyDescent="0.3">
      <c r="A11" s="614" t="s">
        <v>262</v>
      </c>
      <c r="B11" s="615"/>
      <c r="C11" s="615"/>
      <c r="D11" s="615"/>
      <c r="E11" s="615"/>
      <c r="F11" s="616"/>
      <c r="G11" s="283"/>
      <c r="H11" s="284"/>
      <c r="I11" s="318" t="s">
        <v>2</v>
      </c>
      <c r="J11" s="458">
        <v>250</v>
      </c>
      <c r="K11" s="319" t="s">
        <v>337</v>
      </c>
      <c r="L11" s="284"/>
      <c r="M11" s="283"/>
      <c r="N11" s="283"/>
      <c r="O11" s="259">
        <f>SUM(R5:R11)</f>
        <v>41</v>
      </c>
      <c r="P11" s="260">
        <v>7</v>
      </c>
      <c r="Q11" s="461" t="str">
        <f t="shared" si="31"/>
        <v/>
      </c>
      <c r="R11" s="287">
        <f t="shared" si="1"/>
        <v>0</v>
      </c>
      <c r="S11" s="467" t="str">
        <f t="shared" si="32"/>
        <v/>
      </c>
      <c r="T11" s="464"/>
      <c r="U11" s="465"/>
      <c r="V11" s="468" t="str">
        <f t="shared" si="33"/>
        <v/>
      </c>
      <c r="W11" s="467" t="str">
        <f>IFERROR(AVERAGEIF($AO$6:$AO$55,P11,#REF!)*100,"")</f>
        <v/>
      </c>
      <c r="X11" s="262">
        <f t="shared" si="2"/>
        <v>0</v>
      </c>
      <c r="Y11" s="263" t="str">
        <f t="shared" si="34"/>
        <v>-</v>
      </c>
      <c r="Z11" s="264">
        <v>7</v>
      </c>
      <c r="AA11" s="474"/>
      <c r="AB11" s="474"/>
      <c r="AC11" s="467"/>
      <c r="AD11" s="262">
        <f t="shared" si="4"/>
        <v>0</v>
      </c>
      <c r="AE11" s="265" t="str">
        <f t="shared" si="5"/>
        <v>-</v>
      </c>
      <c r="AF11" s="266" t="str">
        <f t="shared" si="6"/>
        <v>-</v>
      </c>
      <c r="AG11" s="9"/>
      <c r="AH11" s="259" t="s">
        <v>369</v>
      </c>
      <c r="AI11" s="9"/>
      <c r="AJ11" s="9"/>
      <c r="AK11" s="9"/>
      <c r="AL11" s="283"/>
      <c r="AM11" s="259">
        <v>6</v>
      </c>
      <c r="AN11" s="310">
        <f t="shared" si="29"/>
        <v>215</v>
      </c>
      <c r="AO11" s="9">
        <f t="shared" si="16"/>
        <v>1</v>
      </c>
      <c r="AP11" s="289">
        <v>45246</v>
      </c>
      <c r="AQ11" s="9" t="str">
        <f t="shared" si="17"/>
        <v>Steer</v>
      </c>
      <c r="AR11" s="453">
        <f t="shared" ca="1" si="18"/>
        <v>562</v>
      </c>
      <c r="AS11" s="453">
        <f t="shared" ca="1" si="19"/>
        <v>628</v>
      </c>
      <c r="AT11" s="229">
        <f t="shared" si="7"/>
        <v>44</v>
      </c>
      <c r="AU11" s="290">
        <f t="shared" ca="1" si="20"/>
        <v>1.5</v>
      </c>
      <c r="AV11" s="453">
        <f t="shared" ca="1" si="21"/>
        <v>682</v>
      </c>
      <c r="AW11" s="290">
        <f t="shared" ca="1" si="22"/>
        <v>1.35</v>
      </c>
      <c r="AX11" s="453">
        <f t="shared" ca="1" si="23"/>
        <v>770</v>
      </c>
      <c r="AY11" s="290">
        <f t="shared" ca="1" si="24"/>
        <v>1.9555555555555555</v>
      </c>
      <c r="AZ11" s="453">
        <f t="shared" ca="1" si="23"/>
        <v>834</v>
      </c>
      <c r="BA11" s="291">
        <f t="shared" ca="1" si="25"/>
        <v>1.9393939393939394</v>
      </c>
      <c r="BB11" s="292">
        <f t="shared" ca="1" si="8"/>
        <v>272</v>
      </c>
      <c r="BC11" s="229">
        <f t="shared" si="26"/>
        <v>164</v>
      </c>
      <c r="BD11" s="293">
        <f t="shared" ca="1" si="27"/>
        <v>1.6585365853658536</v>
      </c>
      <c r="BE11" s="293">
        <f t="shared" si="9"/>
        <v>4</v>
      </c>
      <c r="BF11" s="294">
        <f t="shared" ca="1" si="30"/>
        <v>751.53640382495917</v>
      </c>
      <c r="BG11" s="9"/>
      <c r="BH11" s="9"/>
      <c r="BI11" s="9"/>
      <c r="BJ11" s="9"/>
      <c r="BM11" s="9"/>
      <c r="BN11" s="479" t="s">
        <v>293</v>
      </c>
      <c r="BO11" s="480"/>
      <c r="BP11" s="481"/>
      <c r="BQ11" s="329">
        <f>IF('Example "lot" sheet'!$BP11-'Example "lot" sheet'!$BO11&gt;0,'Example "lot" sheet'!$BP11-'Example "lot" sheet'!$BO11,0)</f>
        <v>0</v>
      </c>
      <c r="BR11" s="330">
        <f>IF(ISBLANK('Example "lot" sheet'!$BO11),0,IF(OR(Feed!$D$3-'Example "lot" sheet'!$BO11&lt;0,'Example "lot" sheet'!$BP11&lt;Feed!$C$3),0,MIN('Example "lot" sheet'!$BP11,Feed!$D$3)-MAX(Feed!$C$3,'Example "lot" sheet'!$BO11)))</f>
        <v>0</v>
      </c>
      <c r="BS11" s="330">
        <f>IF(ISBLANK('Example "lot" sheet'!$BO11),0,IF(OR(Feed!$E$3-'Example "lot" sheet'!$BO11&lt;0,'Example "lot" sheet'!$BP11&lt;Feed!$D$3),0,MIN('Example "lot" sheet'!$BP11,Feed!$E$3)-MAX(Feed!$D$3,'Example "lot" sheet'!$BO11)))</f>
        <v>0</v>
      </c>
      <c r="BT11" s="330">
        <f>IF(ISBLANK('Example "lot" sheet'!$BO11),0,IF(OR(Feed!$F$3-'Example "lot" sheet'!$BO11&lt;0,'Example "lot" sheet'!$BP11&lt;Feed!$E$3),0,MIN('Example "lot" sheet'!$BP11,Feed!$F$3)-MAX(Feed!$E$3,'Example "lot" sheet'!$BO11)))</f>
        <v>0</v>
      </c>
      <c r="BU11" s="330">
        <f>IF('Example "lot" sheet'!$BP11&gt;Feed!$F$3,'Example "lot" sheet'!$BP11-Feed!$F$3,0)</f>
        <v>0</v>
      </c>
      <c r="BV11" s="331">
        <f>'Example "lot" sheet'!CH58</f>
        <v>0</v>
      </c>
      <c r="BW11" s="332">
        <f>'Example "lot" sheet'!CH56</f>
        <v>0</v>
      </c>
      <c r="BX11" s="331">
        <f>'Example "lot" sheet'!$BV11-'Example "lot" sheet'!$BW11</f>
        <v>0</v>
      </c>
      <c r="BY11" s="333">
        <f>'Example "lot" sheet'!CF56</f>
        <v>0</v>
      </c>
      <c r="BZ11" s="9"/>
      <c r="CA11" s="476"/>
      <c r="CB11" s="316">
        <f>IFERROR(VLOOKUP(CA11,Feed!$B$4:$H$19,2,FALSE)*($BR$7/$BQ$7)+VLOOKUP(CA11,Feed!$B$4:$H$19,3,FALSE)*($BS$7/$BQ$7)+VLOOKUP(CA11,Feed!$B$4:$H$19,4,FALSE)*($BT$7/$BQ$7)+VLOOKUP(CA11,Feed!$B$4:$H$19,5,FALSE)*($BU$7/$BQ$7),0)</f>
        <v>0</v>
      </c>
      <c r="CC11" s="299" t="str">
        <f>IFERROR(VLOOKUP('Example "lot" sheet'!$CA11,FeedIngLst,6,FALSE),"-")</f>
        <v>-</v>
      </c>
      <c r="CD11" s="299" t="str">
        <f>IFERROR(VLOOKUP('Example "lot" sheet'!$CA11,FeedIngLst,7,FALSE),"-")</f>
        <v>-</v>
      </c>
      <c r="CE11" s="482"/>
      <c r="CF11" s="299">
        <f t="shared" si="28"/>
        <v>0</v>
      </c>
      <c r="CG11" s="300">
        <f t="shared" si="11"/>
        <v>0</v>
      </c>
      <c r="CH11" s="301" t="str">
        <f>IFERROR('Example "lot" sheet'!$CB11/'Example "lot" sheet'!$CC11/(1-'Example "lot" sheet'!$CD11),"-")</f>
        <v>-</v>
      </c>
      <c r="CI11" s="9"/>
      <c r="CL11" s="9"/>
      <c r="CM11" s="254" t="s">
        <v>224</v>
      </c>
      <c r="CN11" s="255"/>
      <c r="CO11" s="276">
        <f>SUMPRODUCT(CN5:CN9,CP5:CP9)/CN10</f>
        <v>32.4375</v>
      </c>
      <c r="CP11" s="9"/>
      <c r="CQ11" s="9"/>
      <c r="CR11" s="9"/>
      <c r="CS11" s="9"/>
      <c r="CV11" s="9"/>
      <c r="CW11" s="484" t="s">
        <v>320</v>
      </c>
      <c r="CX11" s="485" t="s">
        <v>319</v>
      </c>
      <c r="CY11" s="487">
        <v>4</v>
      </c>
      <c r="CZ11" s="487" t="s">
        <v>308</v>
      </c>
      <c r="DA11" s="485"/>
      <c r="DB11" s="278">
        <f t="shared" si="13"/>
        <v>0</v>
      </c>
      <c r="DC11" s="9"/>
      <c r="DD11" s="9"/>
      <c r="DE11" s="9"/>
      <c r="DF11" s="9"/>
      <c r="DI11" s="9"/>
      <c r="DJ11" s="484"/>
      <c r="DK11" s="485"/>
      <c r="DL11" s="9" t="str">
        <f t="shared" si="0"/>
        <v>-</v>
      </c>
      <c r="DM11" s="485"/>
      <c r="DN11" s="485"/>
      <c r="DO11" s="279" t="str">
        <f t="shared" si="14"/>
        <v/>
      </c>
      <c r="DP11" s="485"/>
      <c r="DQ11" s="278" t="str">
        <f t="shared" si="15"/>
        <v/>
      </c>
      <c r="DR11" s="9"/>
      <c r="DS11" s="9"/>
      <c r="DT11" s="9"/>
      <c r="DU11" s="9"/>
      <c r="DX11" s="9"/>
      <c r="DY11" s="620" t="s">
        <v>250</v>
      </c>
      <c r="DZ11" s="621"/>
      <c r="EA11" s="621"/>
      <c r="EB11" s="622"/>
      <c r="EC11" s="9"/>
      <c r="ED11" s="9"/>
      <c r="EE11" s="9"/>
      <c r="EF11" s="9"/>
      <c r="EG11" s="9"/>
      <c r="EJ11" s="9"/>
      <c r="EK11" s="334" t="s">
        <v>265</v>
      </c>
      <c r="EL11" s="335">
        <f ca="1">EB10*R15</f>
        <v>50532.893224572901</v>
      </c>
      <c r="EM11" s="9"/>
      <c r="EN11" s="9"/>
      <c r="EO11" s="9"/>
      <c r="EP11" s="9"/>
      <c r="EQ11" s="9"/>
    </row>
    <row r="12" spans="1:147" ht="18.95" customHeight="1" x14ac:dyDescent="0.25">
      <c r="A12" s="614" t="s">
        <v>434</v>
      </c>
      <c r="B12" s="615"/>
      <c r="C12" s="615"/>
      <c r="D12" s="615"/>
      <c r="E12" s="615"/>
      <c r="F12" s="616"/>
      <c r="G12" s="283"/>
      <c r="H12" s="284"/>
      <c r="I12" s="318" t="s">
        <v>9</v>
      </c>
      <c r="J12" s="459">
        <v>0.08</v>
      </c>
      <c r="K12" s="336" t="s">
        <v>336</v>
      </c>
      <c r="L12" s="284"/>
      <c r="M12" s="283"/>
      <c r="N12" s="283"/>
      <c r="O12" s="259">
        <f>SUM(R5:R12)</f>
        <v>41</v>
      </c>
      <c r="P12" s="260">
        <v>8</v>
      </c>
      <c r="Q12" s="461" t="str">
        <f t="shared" si="31"/>
        <v/>
      </c>
      <c r="R12" s="287">
        <f t="shared" si="1"/>
        <v>0</v>
      </c>
      <c r="S12" s="467" t="str">
        <f t="shared" si="32"/>
        <v/>
      </c>
      <c r="T12" s="464"/>
      <c r="U12" s="465"/>
      <c r="V12" s="468" t="str">
        <f t="shared" si="33"/>
        <v/>
      </c>
      <c r="W12" s="467" t="str">
        <f>IFERROR(AVERAGEIF($AO$6:$AO$55,P12,#REF!)*100,"")</f>
        <v/>
      </c>
      <c r="X12" s="262">
        <f t="shared" si="2"/>
        <v>0</v>
      </c>
      <c r="Y12" s="263" t="str">
        <f t="shared" si="34"/>
        <v>-</v>
      </c>
      <c r="Z12" s="264">
        <v>8</v>
      </c>
      <c r="AA12" s="474"/>
      <c r="AB12" s="474"/>
      <c r="AC12" s="467"/>
      <c r="AD12" s="262">
        <f t="shared" si="4"/>
        <v>0</v>
      </c>
      <c r="AE12" s="265" t="str">
        <f t="shared" si="5"/>
        <v>-</v>
      </c>
      <c r="AF12" s="266" t="str">
        <f t="shared" si="6"/>
        <v>-</v>
      </c>
      <c r="AG12" s="9"/>
      <c r="AH12" s="9"/>
      <c r="AI12" s="9"/>
      <c r="AJ12" s="9"/>
      <c r="AK12" s="9"/>
      <c r="AL12" s="283"/>
      <c r="AM12" s="259">
        <v>7</v>
      </c>
      <c r="AN12" s="310">
        <f t="shared" si="29"/>
        <v>216</v>
      </c>
      <c r="AO12" s="9">
        <f t="shared" si="16"/>
        <v>1</v>
      </c>
      <c r="AP12" s="289">
        <v>45246</v>
      </c>
      <c r="AQ12" s="9" t="str">
        <f t="shared" si="17"/>
        <v>Steer</v>
      </c>
      <c r="AR12" s="453">
        <f t="shared" ca="1" si="18"/>
        <v>557</v>
      </c>
      <c r="AS12" s="453">
        <f t="shared" ca="1" si="19"/>
        <v>587</v>
      </c>
      <c r="AT12" s="229">
        <f t="shared" si="7"/>
        <v>44</v>
      </c>
      <c r="AU12" s="290">
        <f t="shared" ca="1" si="20"/>
        <v>0.68181818181818177</v>
      </c>
      <c r="AV12" s="453">
        <f t="shared" ca="1" si="21"/>
        <v>637</v>
      </c>
      <c r="AW12" s="290">
        <f t="shared" ca="1" si="22"/>
        <v>1.25</v>
      </c>
      <c r="AX12" s="453">
        <f t="shared" ca="1" si="23"/>
        <v>687</v>
      </c>
      <c r="AY12" s="290">
        <f t="shared" ca="1" si="24"/>
        <v>1.1111111111111112</v>
      </c>
      <c r="AZ12" s="453">
        <f t="shared" ca="1" si="23"/>
        <v>763</v>
      </c>
      <c r="BA12" s="291">
        <f t="shared" ca="1" si="25"/>
        <v>2.3030303030303032</v>
      </c>
      <c r="BB12" s="292">
        <f t="shared" ca="1" si="8"/>
        <v>206</v>
      </c>
      <c r="BC12" s="229">
        <f t="shared" si="26"/>
        <v>164</v>
      </c>
      <c r="BD12" s="293">
        <f t="shared" ca="1" si="27"/>
        <v>1.2560975609756098</v>
      </c>
      <c r="BE12" s="293">
        <f t="shared" si="9"/>
        <v>0</v>
      </c>
      <c r="BF12" s="294">
        <f t="shared" ca="1" si="30"/>
        <v>588.70612361328256</v>
      </c>
      <c r="BG12" s="9"/>
      <c r="BH12" s="9"/>
      <c r="BI12" s="9"/>
      <c r="BJ12" s="9"/>
      <c r="BM12" s="9"/>
      <c r="BN12" s="9"/>
      <c r="BO12" s="9"/>
      <c r="BP12" s="9" t="s">
        <v>370</v>
      </c>
      <c r="BQ12" s="337">
        <f>SUM(BQ7:BQ11)</f>
        <v>48</v>
      </c>
      <c r="BR12" s="9"/>
      <c r="BS12" s="9"/>
      <c r="BT12" s="9"/>
      <c r="BU12" s="9"/>
      <c r="BV12" s="9"/>
      <c r="BW12" s="9"/>
      <c r="BX12" s="9"/>
      <c r="BY12" s="9"/>
      <c r="BZ12" s="9"/>
      <c r="CA12" s="338" t="s">
        <v>330</v>
      </c>
      <c r="CB12" s="339">
        <f>'AUM Evaluator'!$S$9*$CB$61</f>
        <v>78.359787947924048</v>
      </c>
      <c r="CC12" s="299">
        <v>1</v>
      </c>
      <c r="CD12" s="340">
        <v>0</v>
      </c>
      <c r="CE12" s="483"/>
      <c r="CF12" s="341">
        <f t="shared" si="28"/>
        <v>0</v>
      </c>
      <c r="CG12" s="342">
        <f t="shared" si="11"/>
        <v>0</v>
      </c>
      <c r="CH12" s="343">
        <f>IFERROR('Example "lot" sheet'!$CB12/'Example "lot" sheet'!$CC12/(1-'Example "lot" sheet'!$CD12),"-")</f>
        <v>78.359787947924048</v>
      </c>
      <c r="CI12" s="9"/>
      <c r="CL12" s="9"/>
      <c r="CM12" s="254" t="s">
        <v>255</v>
      </c>
      <c r="CN12" s="255"/>
      <c r="CO12" s="276">
        <f ca="1">MAX(AZ56,AX56,AV56,AS56,AR56)-AR56</f>
        <v>235.42964352720446</v>
      </c>
      <c r="CP12" s="9"/>
      <c r="CQ12" s="9"/>
      <c r="CR12" s="9"/>
      <c r="CS12" s="9"/>
      <c r="CV12" s="9"/>
      <c r="CW12" s="484" t="s">
        <v>323</v>
      </c>
      <c r="CX12" s="485"/>
      <c r="CY12" s="487">
        <v>0.15</v>
      </c>
      <c r="CZ12" s="487" t="s">
        <v>308</v>
      </c>
      <c r="DA12" s="485"/>
      <c r="DB12" s="278">
        <f t="shared" si="13"/>
        <v>0</v>
      </c>
      <c r="DC12" s="9"/>
      <c r="DD12" s="9"/>
      <c r="DE12" s="9"/>
      <c r="DF12" s="9"/>
      <c r="DI12" s="9"/>
      <c r="DJ12" s="484"/>
      <c r="DK12" s="485"/>
      <c r="DL12" s="9" t="str">
        <f t="shared" si="0"/>
        <v>-</v>
      </c>
      <c r="DM12" s="485"/>
      <c r="DN12" s="485"/>
      <c r="DO12" s="279" t="str">
        <f t="shared" si="14"/>
        <v/>
      </c>
      <c r="DP12" s="485"/>
      <c r="DQ12" s="278" t="str">
        <f t="shared" si="15"/>
        <v/>
      </c>
      <c r="DR12" s="9"/>
      <c r="DS12" s="9"/>
      <c r="DT12" s="9"/>
      <c r="DU12" s="9"/>
      <c r="DX12" s="9"/>
      <c r="DY12" s="304" t="s">
        <v>232</v>
      </c>
      <c r="DZ12" s="306" t="str">
        <f ca="1">ROUND(AR56,0)&amp; " pounds at $"&amp;ROUND(W15/100,2)&amp;" per pound"</f>
        <v>514 pounds at $2.58 per pound</v>
      </c>
      <c r="EA12" s="306"/>
      <c r="EB12" s="344">
        <f>Y15</f>
        <v>1091.2430769225332</v>
      </c>
      <c r="EC12" s="9"/>
      <c r="ED12" s="9"/>
      <c r="EE12" s="9"/>
      <c r="EF12" s="9"/>
      <c r="EG12" s="9"/>
      <c r="EJ12" s="9"/>
      <c r="EK12" s="334" t="s">
        <v>259</v>
      </c>
      <c r="EL12" s="335">
        <f ca="1">EB10</f>
        <v>1232.5095908432415</v>
      </c>
      <c r="EM12" s="9"/>
      <c r="EN12" s="9"/>
      <c r="EO12" s="9"/>
      <c r="EP12" s="9"/>
      <c r="EQ12" s="9"/>
    </row>
    <row r="13" spans="1:147" ht="18.95" customHeight="1" thickBot="1" x14ac:dyDescent="0.3">
      <c r="G13" s="283"/>
      <c r="H13" s="284"/>
      <c r="I13" s="345" t="s">
        <v>39</v>
      </c>
      <c r="J13" s="460">
        <v>2</v>
      </c>
      <c r="K13" s="346" t="s">
        <v>55</v>
      </c>
      <c r="L13" s="284"/>
      <c r="M13" s="283"/>
      <c r="N13" s="283"/>
      <c r="O13" s="259">
        <f>SUM(R5:R13)</f>
        <v>41</v>
      </c>
      <c r="P13" s="260">
        <v>9</v>
      </c>
      <c r="Q13" s="461" t="str">
        <f t="shared" si="31"/>
        <v/>
      </c>
      <c r="R13" s="287">
        <f t="shared" si="1"/>
        <v>0</v>
      </c>
      <c r="S13" s="467" t="str">
        <f t="shared" si="32"/>
        <v/>
      </c>
      <c r="T13" s="464"/>
      <c r="U13" s="465"/>
      <c r="V13" s="468" t="str">
        <f t="shared" si="33"/>
        <v/>
      </c>
      <c r="W13" s="467" t="str">
        <f>IFERROR(AVERAGEIF($AO$6:$AO$55,P13,#REF!)*100,"")</f>
        <v/>
      </c>
      <c r="X13" s="262">
        <f t="shared" si="2"/>
        <v>0</v>
      </c>
      <c r="Y13" s="263" t="str">
        <f t="shared" si="34"/>
        <v>-</v>
      </c>
      <c r="Z13" s="264">
        <v>9</v>
      </c>
      <c r="AA13" s="474"/>
      <c r="AB13" s="474"/>
      <c r="AC13" s="467"/>
      <c r="AD13" s="262">
        <f t="shared" si="4"/>
        <v>0</v>
      </c>
      <c r="AE13" s="265" t="str">
        <f t="shared" si="5"/>
        <v>-</v>
      </c>
      <c r="AF13" s="266" t="str">
        <f t="shared" si="6"/>
        <v>-</v>
      </c>
      <c r="AG13" s="9"/>
      <c r="AH13" s="9"/>
      <c r="AI13" s="9"/>
      <c r="AJ13" s="9"/>
      <c r="AK13" s="9"/>
      <c r="AL13" s="283"/>
      <c r="AM13" s="259">
        <v>8</v>
      </c>
      <c r="AN13" s="310">
        <f t="shared" si="29"/>
        <v>217</v>
      </c>
      <c r="AO13" s="9">
        <f t="shared" si="16"/>
        <v>1</v>
      </c>
      <c r="AP13" s="289">
        <v>45246</v>
      </c>
      <c r="AQ13" s="9" t="str">
        <f t="shared" si="17"/>
        <v>Steer</v>
      </c>
      <c r="AR13" s="453">
        <f t="shared" ca="1" si="18"/>
        <v>464</v>
      </c>
      <c r="AS13" s="453">
        <f t="shared" ca="1" si="19"/>
        <v>499</v>
      </c>
      <c r="AT13" s="229">
        <f t="shared" si="7"/>
        <v>44</v>
      </c>
      <c r="AU13" s="290">
        <f t="shared" ca="1" si="20"/>
        <v>0.79545454545454541</v>
      </c>
      <c r="AV13" s="453">
        <f t="shared" ca="1" si="21"/>
        <v>564</v>
      </c>
      <c r="AW13" s="290">
        <f t="shared" ca="1" si="22"/>
        <v>1.625</v>
      </c>
      <c r="AX13" s="453">
        <f t="shared" ca="1" si="23"/>
        <v>604</v>
      </c>
      <c r="AY13" s="290">
        <f t="shared" ca="1" si="24"/>
        <v>0.88888888888888884</v>
      </c>
      <c r="AZ13" s="453">
        <f t="shared" ca="1" si="23"/>
        <v>639</v>
      </c>
      <c r="BA13" s="291">
        <f t="shared" ca="1" si="25"/>
        <v>1.0606060606060606</v>
      </c>
      <c r="BB13" s="292">
        <f t="shared" ca="1" si="8"/>
        <v>175</v>
      </c>
      <c r="BC13" s="229">
        <f t="shared" si="26"/>
        <v>164</v>
      </c>
      <c r="BD13" s="293">
        <f t="shared" ca="1" si="27"/>
        <v>1.0670731707317074</v>
      </c>
      <c r="BE13" s="293">
        <f t="shared" si="9"/>
        <v>0</v>
      </c>
      <c r="BF13" s="294">
        <f t="shared" ca="1" si="30"/>
        <v>304.32647929993129</v>
      </c>
      <c r="BG13" s="9"/>
      <c r="BH13" s="259" t="s">
        <v>301</v>
      </c>
      <c r="BI13" s="9"/>
      <c r="BJ13" s="9"/>
      <c r="BN13" s="347" t="s">
        <v>293</v>
      </c>
      <c r="BZ13" s="9"/>
      <c r="CA13" s="348"/>
      <c r="CB13" s="349"/>
      <c r="CC13" s="350" t="s">
        <v>58</v>
      </c>
      <c r="CD13" s="351"/>
      <c r="CE13" s="352">
        <f>SUM(CE6:CE12)</f>
        <v>30.25</v>
      </c>
      <c r="CF13" s="353">
        <f>SUM(CF6:CF12)</f>
        <v>1</v>
      </c>
      <c r="CG13" s="352">
        <f t="shared" si="11"/>
        <v>12.4025</v>
      </c>
      <c r="CH13" s="354"/>
      <c r="CI13" s="9"/>
      <c r="CL13" s="9"/>
      <c r="CM13" s="254" t="s">
        <v>254</v>
      </c>
      <c r="CN13" s="255"/>
      <c r="CO13" s="276">
        <f ca="1">BD56</f>
        <v>1.2101225097747159</v>
      </c>
      <c r="CP13" s="9"/>
      <c r="CQ13" s="9"/>
      <c r="CR13" s="9"/>
      <c r="CS13" s="9"/>
      <c r="CV13" s="9"/>
      <c r="CW13" s="484" t="s">
        <v>324</v>
      </c>
      <c r="CX13" s="485"/>
      <c r="CY13" s="487">
        <v>0.2</v>
      </c>
      <c r="CZ13" s="487" t="s">
        <v>308</v>
      </c>
      <c r="DA13" s="485"/>
      <c r="DB13" s="278">
        <f t="shared" si="13"/>
        <v>0</v>
      </c>
      <c r="DC13" s="9"/>
      <c r="DD13" s="9"/>
      <c r="DE13" s="9"/>
      <c r="DF13" s="9"/>
      <c r="DI13" s="9"/>
      <c r="DJ13" s="484"/>
      <c r="DK13" s="485"/>
      <c r="DL13" s="9" t="str">
        <f t="shared" si="0"/>
        <v>-</v>
      </c>
      <c r="DM13" s="485"/>
      <c r="DN13" s="485"/>
      <c r="DO13" s="279" t="str">
        <f t="shared" si="14"/>
        <v/>
      </c>
      <c r="DP13" s="485"/>
      <c r="DQ13" s="278" t="str">
        <f t="shared" si="15"/>
        <v/>
      </c>
      <c r="DR13" s="9"/>
      <c r="DS13" s="9"/>
      <c r="DT13" s="9"/>
      <c r="DU13" s="9"/>
      <c r="DX13" s="9"/>
      <c r="DY13" s="304" t="s">
        <v>238</v>
      </c>
      <c r="DZ13" s="306"/>
      <c r="EA13" s="306"/>
      <c r="EB13" s="344">
        <f>J10</f>
        <v>4</v>
      </c>
      <c r="EC13" s="9"/>
      <c r="ED13" s="9"/>
      <c r="EE13" s="9"/>
      <c r="EF13" s="9"/>
      <c r="EG13" s="9"/>
      <c r="EJ13" s="9"/>
      <c r="EK13" s="334" t="s">
        <v>128</v>
      </c>
      <c r="EL13" s="355">
        <f ca="1">EB24*R15</f>
        <v>53466.688204457059</v>
      </c>
      <c r="EM13" s="9"/>
      <c r="EN13" s="9"/>
      <c r="EO13" s="9"/>
      <c r="EP13" s="9"/>
      <c r="EQ13" s="9"/>
    </row>
    <row r="14" spans="1:147" ht="18.95" customHeight="1" thickBot="1" x14ac:dyDescent="0.3">
      <c r="H14" s="9"/>
      <c r="I14" s="493" t="s">
        <v>276</v>
      </c>
      <c r="J14" s="259">
        <v>20</v>
      </c>
      <c r="K14" s="259" t="s">
        <v>46</v>
      </c>
      <c r="L14" s="9"/>
      <c r="O14" s="259">
        <f>SUM(R5:R14)</f>
        <v>41</v>
      </c>
      <c r="P14" s="357">
        <v>10</v>
      </c>
      <c r="Q14" s="462" t="str">
        <f t="shared" si="31"/>
        <v/>
      </c>
      <c r="R14" s="358">
        <f t="shared" si="1"/>
        <v>0</v>
      </c>
      <c r="S14" s="469" t="str">
        <f t="shared" si="32"/>
        <v/>
      </c>
      <c r="T14" s="470"/>
      <c r="U14" s="471"/>
      <c r="V14" s="472" t="str">
        <f t="shared" si="33"/>
        <v/>
      </c>
      <c r="W14" s="473" t="str">
        <f>IFERROR(AVERAGEIF($AO$6:$AO$55,P14,#REF!)*100,"")</f>
        <v/>
      </c>
      <c r="X14" s="359">
        <f t="shared" si="2"/>
        <v>0</v>
      </c>
      <c r="Y14" s="360" t="str">
        <f t="shared" si="34"/>
        <v>-</v>
      </c>
      <c r="Z14" s="527">
        <v>10</v>
      </c>
      <c r="AA14" s="475"/>
      <c r="AB14" s="475"/>
      <c r="AC14" s="473"/>
      <c r="AD14" s="359">
        <f t="shared" si="4"/>
        <v>0</v>
      </c>
      <c r="AE14" s="361" t="str">
        <f t="shared" si="5"/>
        <v>-</v>
      </c>
      <c r="AF14" s="362" t="str">
        <f t="shared" si="6"/>
        <v>-</v>
      </c>
      <c r="AG14" s="9"/>
      <c r="AH14" s="9"/>
      <c r="AI14" s="9"/>
      <c r="AJ14" s="9"/>
      <c r="AK14" s="9"/>
      <c r="AM14" s="259">
        <v>9</v>
      </c>
      <c r="AN14" s="310">
        <f t="shared" si="29"/>
        <v>218</v>
      </c>
      <c r="AO14" s="9">
        <f t="shared" si="16"/>
        <v>1</v>
      </c>
      <c r="AP14" s="289">
        <v>45246</v>
      </c>
      <c r="AQ14" s="9" t="str">
        <f t="shared" si="17"/>
        <v>Steer</v>
      </c>
      <c r="AR14" s="453">
        <f t="shared" ca="1" si="18"/>
        <v>481</v>
      </c>
      <c r="AS14" s="453">
        <f t="shared" ca="1" si="19"/>
        <v>547</v>
      </c>
      <c r="AT14" s="229">
        <f t="shared" si="7"/>
        <v>44</v>
      </c>
      <c r="AU14" s="290">
        <f t="shared" ca="1" si="20"/>
        <v>1.5</v>
      </c>
      <c r="AV14" s="453">
        <f t="shared" ca="1" si="21"/>
        <v>627</v>
      </c>
      <c r="AW14" s="290">
        <f t="shared" ca="1" si="22"/>
        <v>2</v>
      </c>
      <c r="AX14" s="453">
        <f t="shared" ca="1" si="23"/>
        <v>682</v>
      </c>
      <c r="AY14" s="290">
        <f t="shared" ca="1" si="24"/>
        <v>1.2222222222222223</v>
      </c>
      <c r="AZ14" s="453">
        <f t="shared" ca="1" si="23"/>
        <v>731</v>
      </c>
      <c r="BA14" s="291">
        <f t="shared" ca="1" si="25"/>
        <v>1.4848484848484849</v>
      </c>
      <c r="BB14" s="292">
        <f t="shared" ca="1" si="8"/>
        <v>250</v>
      </c>
      <c r="BC14" s="229">
        <f t="shared" si="26"/>
        <v>164</v>
      </c>
      <c r="BD14" s="293">
        <f t="shared" ca="1" si="27"/>
        <v>1.524390243902439</v>
      </c>
      <c r="BE14" s="293">
        <f t="shared" si="9"/>
        <v>0</v>
      </c>
      <c r="BF14" s="294">
        <f t="shared" ca="1" si="30"/>
        <v>515.3178283066112</v>
      </c>
      <c r="BG14" s="9"/>
      <c r="BH14" s="259" t="s">
        <v>302</v>
      </c>
      <c r="BI14" s="9"/>
      <c r="BJ14" s="9"/>
      <c r="BN14" s="347" t="s">
        <v>293</v>
      </c>
      <c r="BO14" s="213"/>
      <c r="BP14" s="213"/>
      <c r="BQ14" s="213"/>
      <c r="BR14" s="213"/>
      <c r="BS14" s="213"/>
      <c r="BT14" s="213"/>
      <c r="BU14" s="213"/>
      <c r="BZ14" s="9"/>
      <c r="CA14" s="363"/>
      <c r="CB14" s="364"/>
      <c r="CC14" s="365"/>
      <c r="CD14" s="366" t="s">
        <v>226</v>
      </c>
      <c r="CE14" s="366"/>
      <c r="CF14" s="367"/>
      <c r="CG14" s="367"/>
      <c r="CH14" s="368">
        <f>SUMPRODUCT(CF6:CF12,CH6:CH12,CC6:CC12)</f>
        <v>0</v>
      </c>
      <c r="CI14" s="9"/>
      <c r="CL14" s="9"/>
      <c r="CM14" s="254" t="s">
        <v>257</v>
      </c>
      <c r="CN14" s="255"/>
      <c r="CO14" s="276">
        <f ca="1">IFERROR(CO18/CO12,)</f>
        <v>0.12447628898233673</v>
      </c>
      <c r="CP14" s="9"/>
      <c r="CQ14" s="9"/>
      <c r="CR14" s="9"/>
      <c r="CS14" s="9"/>
      <c r="CV14" s="9"/>
      <c r="CW14" s="484"/>
      <c r="CX14" s="485"/>
      <c r="CY14" s="487"/>
      <c r="CZ14" s="487"/>
      <c r="DA14" s="485"/>
      <c r="DB14" s="278">
        <f t="shared" si="13"/>
        <v>0</v>
      </c>
      <c r="DC14" s="9"/>
      <c r="DD14" s="9"/>
      <c r="DE14" s="9"/>
      <c r="DF14" s="9"/>
      <c r="DI14" s="9"/>
      <c r="DJ14" s="484"/>
      <c r="DK14" s="485"/>
      <c r="DL14" s="9" t="str">
        <f t="shared" si="0"/>
        <v>-</v>
      </c>
      <c r="DM14" s="485"/>
      <c r="DN14" s="485"/>
      <c r="DO14" s="279" t="str">
        <f t="shared" si="14"/>
        <v/>
      </c>
      <c r="DP14" s="485"/>
      <c r="DQ14" s="278" t="str">
        <f t="shared" si="15"/>
        <v/>
      </c>
      <c r="DR14" s="9"/>
      <c r="DS14" s="9"/>
      <c r="DT14" s="9"/>
      <c r="DU14" s="9"/>
      <c r="DX14" s="9"/>
      <c r="DY14" s="304" t="s">
        <v>122</v>
      </c>
      <c r="DZ14" s="306"/>
      <c r="EA14" s="306"/>
      <c r="EB14" s="344">
        <f>IFERROR(CO18,)</f>
        <v>29.305408342700826</v>
      </c>
      <c r="EC14" s="9"/>
      <c r="ED14" s="9"/>
      <c r="EE14" s="9"/>
      <c r="EF14" s="9"/>
      <c r="EG14" s="9"/>
      <c r="EJ14" s="9"/>
      <c r="EK14" s="334" t="s">
        <v>260</v>
      </c>
      <c r="EL14" s="355">
        <f ca="1">EB24</f>
        <v>1304.0655659623674</v>
      </c>
      <c r="EM14" s="9"/>
      <c r="EN14" s="9"/>
      <c r="EO14" s="9"/>
      <c r="EP14" s="9"/>
      <c r="EQ14" s="9"/>
    </row>
    <row r="15" spans="1:147" ht="18.95" customHeight="1" thickBot="1" x14ac:dyDescent="0.3">
      <c r="H15" s="9"/>
      <c r="I15" s="259" t="s">
        <v>341</v>
      </c>
      <c r="J15" s="259">
        <v>0.03</v>
      </c>
      <c r="K15" s="259" t="s">
        <v>342</v>
      </c>
      <c r="L15" s="9"/>
      <c r="O15" s="9"/>
      <c r="P15" s="369"/>
      <c r="Q15" s="370" t="s">
        <v>186</v>
      </c>
      <c r="R15" s="370">
        <f>SUM(R5:R14)</f>
        <v>41</v>
      </c>
      <c r="S15" s="370"/>
      <c r="T15" s="370"/>
      <c r="U15" s="370"/>
      <c r="V15" s="371">
        <f>IFERROR(SUMPRODUCT(R5:R14,V5:V14)/R15,"-")</f>
        <v>413.39024390204878</v>
      </c>
      <c r="W15" s="372">
        <f>IFERROR(AVERAGE(W5:W14),)</f>
        <v>257.66666666666669</v>
      </c>
      <c r="X15" s="372">
        <f>SUM(X5:X14)</f>
        <v>44229.219999957611</v>
      </c>
      <c r="Y15" s="373">
        <f>IFERROR(AVERAGE(Y5:Y14),)</f>
        <v>1091.2430769225332</v>
      </c>
      <c r="Z15" s="372"/>
      <c r="AA15" s="374">
        <f>SUM(AA5:AA14)</f>
        <v>40</v>
      </c>
      <c r="AB15" s="371">
        <f>IFERROR(SUMPRODUCT(AA5:AA14,AB5:AB14)/AA15,)</f>
        <v>576.35</v>
      </c>
      <c r="AC15" s="372">
        <f>IFERROR(SUMPRODUCT(AA5:AA14,AC5:AC14,AB5:AB14)/(AA15*AB15),)</f>
        <v>229.33842283334781</v>
      </c>
      <c r="AD15" s="372">
        <f>SUM(AD5:AD14)</f>
        <v>43997.919999999998</v>
      </c>
      <c r="AE15" s="372">
        <f>IFERROR(AVERAGE(AE5:AE14),)</f>
        <v>874.50666666666666</v>
      </c>
      <c r="AF15" s="373">
        <f>SUMPRODUCT(AF5:AF14,AA5:AA14)/AA15</f>
        <v>171.19236088863914</v>
      </c>
      <c r="AG15" s="9"/>
      <c r="AH15" s="9"/>
      <c r="AI15" s="9"/>
      <c r="AJ15" s="9"/>
      <c r="AK15" s="9"/>
      <c r="AM15" s="259">
        <v>10</v>
      </c>
      <c r="AN15" s="310">
        <f t="shared" si="29"/>
        <v>219</v>
      </c>
      <c r="AO15" s="9">
        <f t="shared" si="16"/>
        <v>1</v>
      </c>
      <c r="AP15" s="289">
        <v>45246</v>
      </c>
      <c r="AQ15" s="9" t="str">
        <f t="shared" si="17"/>
        <v>Steer</v>
      </c>
      <c r="AR15" s="453">
        <f t="shared" ca="1" si="18"/>
        <v>497</v>
      </c>
      <c r="AS15" s="453" t="s">
        <v>301</v>
      </c>
      <c r="AT15" s="229">
        <f t="shared" si="7"/>
        <v>44</v>
      </c>
      <c r="AU15" s="290" t="str">
        <f t="shared" ca="1" si="20"/>
        <v>N/A</v>
      </c>
      <c r="AV15" s="453"/>
      <c r="AW15" s="290" t="str">
        <f t="shared" si="22"/>
        <v>N/A</v>
      </c>
      <c r="AX15" s="453"/>
      <c r="AY15" s="290">
        <f t="shared" si="24"/>
        <v>0</v>
      </c>
      <c r="AZ15" s="453"/>
      <c r="BA15" s="291">
        <f t="shared" si="25"/>
        <v>0</v>
      </c>
      <c r="BB15" s="292">
        <f t="shared" ca="1" si="8"/>
        <v>0</v>
      </c>
      <c r="BC15" s="229">
        <f t="shared" si="26"/>
        <v>164</v>
      </c>
      <c r="BD15" s="293">
        <f t="shared" ca="1" si="27"/>
        <v>0</v>
      </c>
      <c r="BE15" s="293">
        <f t="shared" si="9"/>
        <v>0</v>
      </c>
      <c r="BF15" s="294">
        <f t="shared" ca="1" si="30"/>
        <v>-1161.1460426051613</v>
      </c>
      <c r="BG15" s="9"/>
      <c r="BH15" s="9"/>
      <c r="BI15" s="9"/>
      <c r="BJ15" s="9"/>
      <c r="BN15" s="347" t="s">
        <v>293</v>
      </c>
      <c r="BZ15" s="9"/>
      <c r="CA15" s="9" t="s">
        <v>227</v>
      </c>
      <c r="CB15" s="9"/>
      <c r="CC15" s="9"/>
      <c r="CD15" s="9"/>
      <c r="CE15" s="9"/>
      <c r="CF15" s="9"/>
      <c r="CG15" s="9"/>
      <c r="CH15" s="9"/>
      <c r="CI15" s="9"/>
      <c r="CL15" s="9"/>
      <c r="CM15" s="254" t="s">
        <v>207</v>
      </c>
      <c r="CN15" s="255"/>
      <c r="CO15" s="375">
        <f>SUMPRODUCT(CN5:CN9,CQ5:CQ9)/CN10</f>
        <v>37.643427543610564</v>
      </c>
      <c r="CP15" s="9"/>
      <c r="CQ15" s="9"/>
      <c r="CR15" s="9"/>
      <c r="CS15" s="9"/>
      <c r="CV15" s="9"/>
      <c r="CW15" s="484"/>
      <c r="CX15" s="485"/>
      <c r="CY15" s="487"/>
      <c r="CZ15" s="487"/>
      <c r="DA15" s="485"/>
      <c r="DB15" s="278">
        <f t="shared" si="13"/>
        <v>0</v>
      </c>
      <c r="DC15" s="9"/>
      <c r="DD15" s="9"/>
      <c r="DE15" s="9"/>
      <c r="DF15" s="9"/>
      <c r="DI15" s="9"/>
      <c r="DJ15" s="484"/>
      <c r="DK15" s="485"/>
      <c r="DL15" s="9" t="str">
        <f t="shared" si="0"/>
        <v>-</v>
      </c>
      <c r="DM15" s="485"/>
      <c r="DN15" s="485"/>
      <c r="DO15" s="279" t="str">
        <f t="shared" si="14"/>
        <v/>
      </c>
      <c r="DP15" s="485"/>
      <c r="DQ15" s="278" t="str">
        <f t="shared" si="15"/>
        <v/>
      </c>
      <c r="DR15" s="9"/>
      <c r="DS15" s="9"/>
      <c r="DT15" s="9"/>
      <c r="DU15" s="9"/>
      <c r="DX15" s="9"/>
      <c r="DY15" s="304"/>
      <c r="DZ15" s="306"/>
      <c r="EA15" s="306"/>
      <c r="EB15" s="344"/>
      <c r="EC15" s="9"/>
      <c r="ED15" s="9"/>
      <c r="EE15" s="9"/>
      <c r="EF15" s="9"/>
      <c r="EG15" s="9"/>
      <c r="EJ15" s="9"/>
      <c r="EK15" s="334" t="s">
        <v>353</v>
      </c>
      <c r="EL15" s="355">
        <f ca="1">EB25*R15</f>
        <v>-2933.7949798841591</v>
      </c>
      <c r="EM15" s="9"/>
      <c r="EN15" s="9"/>
      <c r="EO15" s="9"/>
      <c r="EP15" s="9"/>
      <c r="EQ15" s="9"/>
    </row>
    <row r="16" spans="1:147" ht="47.25" x14ac:dyDescent="0.25">
      <c r="I16" s="216" t="s">
        <v>96</v>
      </c>
      <c r="J16" s="216">
        <v>0.03</v>
      </c>
      <c r="K16" s="216" t="s">
        <v>56</v>
      </c>
      <c r="O16" s="9"/>
      <c r="P16" s="9"/>
      <c r="Q16" s="9"/>
      <c r="R16" s="9"/>
      <c r="S16" s="9"/>
      <c r="T16" s="9"/>
      <c r="U16" s="9"/>
      <c r="V16" s="9"/>
      <c r="W16" s="9"/>
      <c r="X16" s="9"/>
      <c r="Y16" s="9"/>
      <c r="Z16" s="9"/>
      <c r="AA16" s="9"/>
      <c r="AB16" s="9"/>
      <c r="AC16" s="9"/>
      <c r="AD16" s="9"/>
      <c r="AE16" s="9"/>
      <c r="AF16" s="9"/>
      <c r="AG16" s="9"/>
      <c r="AH16" s="9"/>
      <c r="AI16" s="9"/>
      <c r="AJ16" s="9"/>
      <c r="AK16" s="9"/>
      <c r="AM16" s="259">
        <v>11</v>
      </c>
      <c r="AN16" s="310">
        <f t="shared" si="29"/>
        <v>220</v>
      </c>
      <c r="AO16" s="9">
        <f t="shared" si="16"/>
        <v>1</v>
      </c>
      <c r="AP16" s="289">
        <v>45246</v>
      </c>
      <c r="AQ16" s="9" t="str">
        <f t="shared" si="17"/>
        <v>Steer</v>
      </c>
      <c r="AR16" s="453">
        <f t="shared" ca="1" si="18"/>
        <v>545</v>
      </c>
      <c r="AS16" s="453">
        <f t="shared" ca="1" si="19"/>
        <v>580</v>
      </c>
      <c r="AT16" s="229">
        <f t="shared" si="7"/>
        <v>44</v>
      </c>
      <c r="AU16" s="290">
        <f t="shared" ca="1" si="20"/>
        <v>0.79545454545454541</v>
      </c>
      <c r="AV16" s="453">
        <f t="shared" ca="1" si="21"/>
        <v>656</v>
      </c>
      <c r="AW16" s="290">
        <f t="shared" ca="1" si="22"/>
        <v>1.9</v>
      </c>
      <c r="AX16" s="453">
        <f t="shared" ca="1" si="23"/>
        <v>722</v>
      </c>
      <c r="AY16" s="290">
        <f t="shared" ca="1" si="24"/>
        <v>1.4666666666666666</v>
      </c>
      <c r="AZ16" s="453">
        <f t="shared" ca="1" si="23"/>
        <v>756</v>
      </c>
      <c r="BA16" s="291">
        <f t="shared" ca="1" si="25"/>
        <v>1.0303030303030303</v>
      </c>
      <c r="BB16" s="292">
        <f t="shared" ca="1" si="8"/>
        <v>211</v>
      </c>
      <c r="BC16" s="229">
        <f t="shared" si="26"/>
        <v>164</v>
      </c>
      <c r="BD16" s="293">
        <f t="shared" ca="1" si="27"/>
        <v>1.2865853658536586</v>
      </c>
      <c r="BE16" s="293">
        <f t="shared" si="9"/>
        <v>0</v>
      </c>
      <c r="BF16" s="294">
        <f t="shared" ca="1" si="30"/>
        <v>572.65243401494797</v>
      </c>
      <c r="BG16" s="9"/>
      <c r="BH16" s="9"/>
      <c r="BI16" s="9"/>
      <c r="BJ16" s="9"/>
      <c r="BN16" s="347" t="s">
        <v>293</v>
      </c>
      <c r="BZ16" s="9"/>
      <c r="CA16" s="273" t="str">
        <f>IF('Example "lot" sheet'!BN8=BN17,"-",'Example "lot" sheet'!BN8)</f>
        <v>Pasture supplement</v>
      </c>
      <c r="CB16" s="54" t="s">
        <v>328</v>
      </c>
      <c r="CC16" s="54" t="s">
        <v>205</v>
      </c>
      <c r="CD16" s="54" t="s">
        <v>95</v>
      </c>
      <c r="CE16" s="54" t="s">
        <v>326</v>
      </c>
      <c r="CF16" s="54" t="s">
        <v>206</v>
      </c>
      <c r="CG16" s="54" t="s">
        <v>234</v>
      </c>
      <c r="CH16" s="274" t="s">
        <v>209</v>
      </c>
      <c r="CI16" s="9"/>
      <c r="CL16" s="9"/>
      <c r="CM16" s="254" t="s">
        <v>256</v>
      </c>
      <c r="CN16" s="255"/>
      <c r="CO16" s="276">
        <f>CO10*CO15</f>
        <v>1201.5217420507338</v>
      </c>
      <c r="CP16" s="9"/>
      <c r="CQ16" s="9"/>
      <c r="CR16" s="9"/>
      <c r="CS16" s="9"/>
      <c r="CV16" s="9"/>
      <c r="CW16" s="484"/>
      <c r="CX16" s="485"/>
      <c r="CY16" s="487"/>
      <c r="CZ16" s="487"/>
      <c r="DA16" s="485"/>
      <c r="DB16" s="278">
        <f t="shared" si="13"/>
        <v>0</v>
      </c>
      <c r="DC16" s="9"/>
      <c r="DD16" s="9"/>
      <c r="DE16" s="9"/>
      <c r="DF16" s="9"/>
      <c r="DI16" s="9"/>
      <c r="DJ16" s="484"/>
      <c r="DK16" s="485"/>
      <c r="DL16" s="9" t="str">
        <f t="shared" si="0"/>
        <v>-</v>
      </c>
      <c r="DM16" s="485"/>
      <c r="DN16" s="485"/>
      <c r="DO16" s="279" t="str">
        <f t="shared" si="14"/>
        <v/>
      </c>
      <c r="DP16" s="485"/>
      <c r="DQ16" s="278" t="str">
        <f t="shared" si="15"/>
        <v/>
      </c>
      <c r="DR16" s="9"/>
      <c r="DS16" s="9"/>
      <c r="DT16" s="9"/>
      <c r="DU16" s="9"/>
      <c r="DX16" s="9"/>
      <c r="DY16" s="625" t="s">
        <v>193</v>
      </c>
      <c r="DZ16" s="306" t="s">
        <v>325</v>
      </c>
      <c r="EA16" s="306"/>
      <c r="EB16" s="344">
        <f>DB19</f>
        <v>39.629999999999995</v>
      </c>
      <c r="EC16" s="9"/>
      <c r="ED16" s="9"/>
      <c r="EE16" s="9"/>
      <c r="EF16" s="9"/>
      <c r="EG16" s="9"/>
      <c r="EJ16" s="9"/>
      <c r="EK16" s="334" t="s">
        <v>352</v>
      </c>
      <c r="EL16" s="376">
        <f ca="1">EB25</f>
        <v>-71.555975119125833</v>
      </c>
      <c r="EM16" s="9"/>
      <c r="EN16" s="9"/>
      <c r="EO16" s="9"/>
      <c r="EP16" s="9"/>
      <c r="EQ16" s="9"/>
    </row>
    <row r="17" spans="9:147" ht="18.95" customHeight="1" thickBot="1" x14ac:dyDescent="0.3">
      <c r="I17" s="216" t="s">
        <v>3</v>
      </c>
      <c r="J17" s="216">
        <v>5</v>
      </c>
      <c r="K17" s="216" t="s">
        <v>46</v>
      </c>
      <c r="AM17" s="259">
        <v>12</v>
      </c>
      <c r="AN17" s="310">
        <f t="shared" si="29"/>
        <v>221</v>
      </c>
      <c r="AO17" s="9">
        <f t="shared" si="16"/>
        <v>1</v>
      </c>
      <c r="AP17" s="289">
        <v>45246</v>
      </c>
      <c r="AQ17" s="9" t="str">
        <f t="shared" si="17"/>
        <v>Steer</v>
      </c>
      <c r="AR17" s="453">
        <f t="shared" ca="1" si="18"/>
        <v>463</v>
      </c>
      <c r="AS17" s="453">
        <f t="shared" ca="1" si="19"/>
        <v>498</v>
      </c>
      <c r="AT17" s="229">
        <f t="shared" si="7"/>
        <v>44</v>
      </c>
      <c r="AU17" s="290">
        <f t="shared" ca="1" si="20"/>
        <v>0.79545454545454541</v>
      </c>
      <c r="AV17" s="453">
        <f t="shared" ca="1" si="21"/>
        <v>547</v>
      </c>
      <c r="AW17" s="290">
        <f t="shared" ca="1" si="22"/>
        <v>1.2250000000000001</v>
      </c>
      <c r="AX17" s="453">
        <f t="shared" ca="1" si="23"/>
        <v>620</v>
      </c>
      <c r="AY17" s="290">
        <f t="shared" ca="1" si="24"/>
        <v>1.6222222222222222</v>
      </c>
      <c r="AZ17" s="453">
        <f t="shared" ca="1" si="23"/>
        <v>663</v>
      </c>
      <c r="BA17" s="291">
        <f t="shared" ca="1" si="25"/>
        <v>1.303030303030303</v>
      </c>
      <c r="BB17" s="292">
        <f t="shared" ca="1" si="8"/>
        <v>200</v>
      </c>
      <c r="BC17" s="229">
        <f t="shared" si="26"/>
        <v>164</v>
      </c>
      <c r="BD17" s="293">
        <f t="shared" ca="1" si="27"/>
        <v>1.2195121951219512</v>
      </c>
      <c r="BE17" s="293">
        <f t="shared" si="9"/>
        <v>0</v>
      </c>
      <c r="BF17" s="294">
        <f t="shared" ca="1" si="30"/>
        <v>359.36770077993458</v>
      </c>
      <c r="BG17" s="9"/>
      <c r="BH17" s="9"/>
      <c r="BI17" s="9"/>
      <c r="BJ17" s="9"/>
      <c r="BN17" s="347" t="s">
        <v>293</v>
      </c>
      <c r="BZ17" s="9"/>
      <c r="CA17" s="476" t="s">
        <v>218</v>
      </c>
      <c r="CB17" s="298">
        <v>150</v>
      </c>
      <c r="CC17" s="299">
        <v>0.85</v>
      </c>
      <c r="CD17" s="299" t="str">
        <f>IFERROR(VLOOKUP('Example "lot" sheet'!$CA17,FeedIngLst,7,FALSE),"-")</f>
        <v>-</v>
      </c>
      <c r="CE17" s="482">
        <v>4</v>
      </c>
      <c r="CF17" s="299">
        <f>CE17/$CE$24</f>
        <v>0.11764705882352941</v>
      </c>
      <c r="CG17" s="300">
        <f t="shared" ref="CG17:CG24" si="35">CE17*$R$15*$BQ$8/2000</f>
        <v>2.2959999999999998</v>
      </c>
      <c r="CH17" s="301" t="str">
        <f>IFERROR('Example "lot" sheet'!$CB17/'Example "lot" sheet'!$CC17/(1-'Example "lot" sheet'!$CD17),"-")</f>
        <v>-</v>
      </c>
      <c r="CI17" s="9"/>
      <c r="CL17" s="9"/>
      <c r="CM17" s="254" t="s">
        <v>233</v>
      </c>
      <c r="CN17" s="255"/>
      <c r="CO17" s="375">
        <f>CO10/R15</f>
        <v>0.77849999999999997</v>
      </c>
      <c r="CP17" s="9"/>
      <c r="CQ17" s="9"/>
      <c r="CR17" s="9"/>
      <c r="CS17" s="9"/>
      <c r="CV17" s="9"/>
      <c r="CW17" s="484" t="s">
        <v>318</v>
      </c>
      <c r="CX17" s="485"/>
      <c r="CY17" s="487">
        <v>4</v>
      </c>
      <c r="CZ17" s="487" t="s">
        <v>307</v>
      </c>
      <c r="DA17" s="485">
        <v>1</v>
      </c>
      <c r="DB17" s="278">
        <f t="shared" si="13"/>
        <v>4</v>
      </c>
      <c r="DC17" s="9"/>
      <c r="DD17" s="9"/>
      <c r="DE17" s="9"/>
      <c r="DF17" s="9"/>
      <c r="DI17" s="9"/>
      <c r="DJ17" s="484"/>
      <c r="DK17" s="485"/>
      <c r="DL17" s="9" t="str">
        <f t="shared" si="0"/>
        <v>-</v>
      </c>
      <c r="DM17" s="485"/>
      <c r="DN17" s="485"/>
      <c r="DO17" s="279" t="str">
        <f t="shared" si="14"/>
        <v/>
      </c>
      <c r="DP17" s="485"/>
      <c r="DQ17" s="278" t="str">
        <f t="shared" si="15"/>
        <v/>
      </c>
      <c r="DR17" s="9"/>
      <c r="DS17" s="9"/>
      <c r="DT17" s="9"/>
      <c r="DU17" s="9"/>
      <c r="DX17" s="9"/>
      <c r="DY17" s="625"/>
      <c r="DZ17" s="306" t="s">
        <v>235</v>
      </c>
      <c r="EA17" s="306"/>
      <c r="EB17" s="377">
        <f>DQ30/R15</f>
        <v>9.7560975609756101E-2</v>
      </c>
      <c r="EC17" s="9"/>
      <c r="ED17" s="9"/>
      <c r="EE17" s="9"/>
      <c r="EF17" s="9"/>
      <c r="EG17" s="9"/>
      <c r="EJ17" s="9"/>
      <c r="EK17" s="378" t="s">
        <v>261</v>
      </c>
      <c r="EL17" s="379">
        <f ca="1">IFERROR((EL11-EL13)/EL13,)</f>
        <v>-5.4871455076201878E-2</v>
      </c>
      <c r="EM17" s="9"/>
      <c r="EN17" s="9"/>
      <c r="EO17" s="9"/>
      <c r="EP17" s="9"/>
      <c r="EQ17" s="9"/>
    </row>
    <row r="18" spans="9:147" ht="18.95" customHeight="1" x14ac:dyDescent="0.25">
      <c r="AM18" s="259">
        <v>13</v>
      </c>
      <c r="AN18" s="310">
        <f t="shared" si="29"/>
        <v>222</v>
      </c>
      <c r="AO18" s="9">
        <f t="shared" si="16"/>
        <v>1</v>
      </c>
      <c r="AP18" s="289">
        <v>45246</v>
      </c>
      <c r="AQ18" s="9" t="str">
        <f t="shared" si="17"/>
        <v>Steer</v>
      </c>
      <c r="AR18" s="453">
        <f t="shared" ca="1" si="18"/>
        <v>564</v>
      </c>
      <c r="AS18" s="453">
        <f t="shared" ca="1" si="19"/>
        <v>634</v>
      </c>
      <c r="AT18" s="229">
        <f t="shared" si="7"/>
        <v>44</v>
      </c>
      <c r="AU18" s="290">
        <f t="shared" ca="1" si="20"/>
        <v>1.5909090909090908</v>
      </c>
      <c r="AV18" s="453">
        <f t="shared" ca="1" si="21"/>
        <v>681</v>
      </c>
      <c r="AW18" s="290">
        <f t="shared" ca="1" si="22"/>
        <v>1.175</v>
      </c>
      <c r="AX18" s="453">
        <f t="shared" ca="1" si="23"/>
        <v>748</v>
      </c>
      <c r="AY18" s="290">
        <f t="shared" ca="1" si="24"/>
        <v>1.4888888888888889</v>
      </c>
      <c r="AZ18" s="453">
        <f t="shared" ca="1" si="23"/>
        <v>798</v>
      </c>
      <c r="BA18" s="291">
        <f t="shared" ca="1" si="25"/>
        <v>1.5151515151515151</v>
      </c>
      <c r="BB18" s="292">
        <f t="shared" ca="1" si="8"/>
        <v>234</v>
      </c>
      <c r="BC18" s="229">
        <f t="shared" si="26"/>
        <v>164</v>
      </c>
      <c r="BD18" s="293">
        <f t="shared" ca="1" si="27"/>
        <v>1.4268292682926829</v>
      </c>
      <c r="BE18" s="293">
        <f t="shared" si="9"/>
        <v>0</v>
      </c>
      <c r="BF18" s="294">
        <f t="shared" ca="1" si="30"/>
        <v>668.97457160495412</v>
      </c>
      <c r="BG18" s="9"/>
      <c r="BH18" s="9"/>
      <c r="BI18" s="9"/>
      <c r="BJ18" s="9"/>
      <c r="BZ18" s="9"/>
      <c r="CA18" s="476" t="s">
        <v>103</v>
      </c>
      <c r="CB18" s="316">
        <v>240</v>
      </c>
      <c r="CC18" s="299">
        <v>0.8</v>
      </c>
      <c r="CD18" s="299" t="str">
        <f>IFERROR(VLOOKUP('Example "lot" sheet'!$CA18,FeedIngLst,7,FALSE),"-")</f>
        <v>-</v>
      </c>
      <c r="CE18" s="482">
        <v>1</v>
      </c>
      <c r="CF18" s="299">
        <f t="shared" ref="CF18:CF23" si="36">CE18/$CE$24</f>
        <v>2.9411764705882353E-2</v>
      </c>
      <c r="CG18" s="300">
        <f t="shared" si="35"/>
        <v>0.57399999999999995</v>
      </c>
      <c r="CH18" s="301" t="str">
        <f>IFERROR('Example "lot" sheet'!$CB18/'Example "lot" sheet'!$CC18/(1-'Example "lot" sheet'!$CD18),"-")</f>
        <v>-</v>
      </c>
      <c r="CI18" s="9"/>
      <c r="CL18" s="9"/>
      <c r="CM18" s="380" t="s">
        <v>59</v>
      </c>
      <c r="CN18" s="381"/>
      <c r="CO18" s="382">
        <f>CO16/R15</f>
        <v>29.305408342700826</v>
      </c>
      <c r="CP18" s="9"/>
      <c r="CQ18" s="9"/>
      <c r="CR18" s="9"/>
      <c r="CS18" s="9"/>
      <c r="CV18" s="9"/>
      <c r="CW18" s="486"/>
      <c r="CX18" s="473"/>
      <c r="CY18" s="488"/>
      <c r="CZ18" s="488" t="s">
        <v>307</v>
      </c>
      <c r="DA18" s="473"/>
      <c r="DB18" s="383">
        <f t="shared" si="13"/>
        <v>0</v>
      </c>
      <c r="DC18" s="9"/>
      <c r="DD18" s="9"/>
      <c r="DE18" s="9"/>
      <c r="DF18" s="9"/>
      <c r="DI18" s="9"/>
      <c r="DJ18" s="484"/>
      <c r="DK18" s="485"/>
      <c r="DL18" s="9" t="str">
        <f t="shared" si="0"/>
        <v>-</v>
      </c>
      <c r="DM18" s="485"/>
      <c r="DN18" s="485"/>
      <c r="DO18" s="279" t="str">
        <f t="shared" si="14"/>
        <v/>
      </c>
      <c r="DP18" s="485"/>
      <c r="DQ18" s="278" t="str">
        <f t="shared" si="15"/>
        <v/>
      </c>
      <c r="DR18" s="9"/>
      <c r="DS18" s="9"/>
      <c r="DT18" s="9"/>
      <c r="DU18" s="9"/>
      <c r="DX18" s="9"/>
      <c r="DY18" s="304" t="s">
        <v>239</v>
      </c>
      <c r="DZ18" s="306" t="s">
        <v>121</v>
      </c>
      <c r="EA18" s="306"/>
      <c r="EB18" s="344">
        <f ca="1">J13*MAX(AZ56,AS56,AV56,AX56)/100</f>
        <v>14.986153846153845</v>
      </c>
      <c r="EC18" s="9"/>
      <c r="ED18" s="9"/>
      <c r="EE18" s="9"/>
      <c r="EF18" s="9"/>
      <c r="EG18" s="9"/>
      <c r="EJ18" s="9"/>
      <c r="EK18" s="9"/>
      <c r="EL18" s="9"/>
      <c r="EM18" s="9"/>
      <c r="EN18" s="9"/>
      <c r="EO18" s="9"/>
      <c r="EP18" s="9"/>
      <c r="EQ18" s="9"/>
    </row>
    <row r="19" spans="9:147" ht="18.95" customHeight="1" thickBot="1" x14ac:dyDescent="0.3">
      <c r="AM19" s="259">
        <v>14</v>
      </c>
      <c r="AN19" s="310">
        <f t="shared" si="29"/>
        <v>223</v>
      </c>
      <c r="AO19" s="9">
        <f t="shared" si="16"/>
        <v>1</v>
      </c>
      <c r="AP19" s="289">
        <v>45246</v>
      </c>
      <c r="AQ19" s="9" t="str">
        <f t="shared" si="17"/>
        <v>Steer</v>
      </c>
      <c r="AR19" s="453">
        <f t="shared" ca="1" si="18"/>
        <v>462</v>
      </c>
      <c r="AS19" s="453">
        <f t="shared" ca="1" si="19"/>
        <v>497</v>
      </c>
      <c r="AT19" s="229">
        <f t="shared" si="7"/>
        <v>44</v>
      </c>
      <c r="AU19" s="290">
        <f t="shared" ca="1" si="20"/>
        <v>0.79545454545454541</v>
      </c>
      <c r="AV19" s="453">
        <f t="shared" ca="1" si="21"/>
        <v>538</v>
      </c>
      <c r="AW19" s="290">
        <f t="shared" ca="1" si="22"/>
        <v>1.0249999999999999</v>
      </c>
      <c r="AX19" s="453">
        <f t="shared" ca="1" si="23"/>
        <v>600</v>
      </c>
      <c r="AY19" s="290">
        <f t="shared" ca="1" si="24"/>
        <v>1.3777777777777778</v>
      </c>
      <c r="AZ19" s="453">
        <f t="shared" ca="1" si="23"/>
        <v>669</v>
      </c>
      <c r="BA19" s="291">
        <f t="shared" ca="1" si="25"/>
        <v>2.0909090909090908</v>
      </c>
      <c r="BB19" s="292">
        <f t="shared" ca="1" si="8"/>
        <v>207</v>
      </c>
      <c r="BC19" s="229">
        <f t="shared" si="26"/>
        <v>164</v>
      </c>
      <c r="BD19" s="293">
        <f t="shared" ca="1" si="27"/>
        <v>1.2621951219512195</v>
      </c>
      <c r="BE19" s="293">
        <f t="shared" si="9"/>
        <v>0</v>
      </c>
      <c r="BF19" s="294">
        <f t="shared" ca="1" si="30"/>
        <v>373.12800614993546</v>
      </c>
      <c r="BG19" s="9"/>
      <c r="BH19" s="9"/>
      <c r="BI19" s="9"/>
      <c r="BJ19" s="9"/>
      <c r="BZ19" s="9"/>
      <c r="CA19" s="476" t="s">
        <v>214</v>
      </c>
      <c r="CB19" s="316">
        <v>310</v>
      </c>
      <c r="CC19" s="299">
        <v>0.9</v>
      </c>
      <c r="CD19" s="299" t="str">
        <f>IFERROR(VLOOKUP('Example "lot" sheet'!$CA19,FeedIngLst,7,FALSE),"-")</f>
        <v>-</v>
      </c>
      <c r="CE19" s="482">
        <v>1</v>
      </c>
      <c r="CF19" s="299">
        <f t="shared" si="36"/>
        <v>2.9411764705882353E-2</v>
      </c>
      <c r="CG19" s="300">
        <f t="shared" si="35"/>
        <v>0.57399999999999995</v>
      </c>
      <c r="CH19" s="301" t="str">
        <f>IFERROR('Example "lot" sheet'!$CB19/'Example "lot" sheet'!$CC19/(1-'Example "lot" sheet'!$CD19),"-")</f>
        <v>-</v>
      </c>
      <c r="CI19" s="9"/>
      <c r="CL19" s="9"/>
      <c r="CM19" s="380" t="s">
        <v>38</v>
      </c>
      <c r="CN19" s="381"/>
      <c r="CO19" s="382">
        <f>IFERROR(CO18/CN10,"-")</f>
        <v>0.61052934047293383</v>
      </c>
      <c r="CP19" s="9"/>
      <c r="CQ19" s="9"/>
      <c r="CR19" s="9"/>
      <c r="CS19" s="9"/>
      <c r="CV19" s="9"/>
      <c r="CW19" s="384"/>
      <c r="CX19" s="385"/>
      <c r="CY19" s="386" t="s">
        <v>315</v>
      </c>
      <c r="CZ19" s="386"/>
      <c r="DA19" s="370"/>
      <c r="DB19" s="387">
        <f>SUMIF(CZ5:CZ18,DD6,DB5:DB18)</f>
        <v>39.629999999999995</v>
      </c>
      <c r="DC19" s="9"/>
      <c r="DD19" s="9"/>
      <c r="DE19" s="9"/>
      <c r="DF19" s="9"/>
      <c r="DI19" s="9"/>
      <c r="DJ19" s="484"/>
      <c r="DK19" s="485"/>
      <c r="DL19" s="9" t="str">
        <f t="shared" si="0"/>
        <v>-</v>
      </c>
      <c r="DM19" s="485"/>
      <c r="DN19" s="485"/>
      <c r="DO19" s="279" t="str">
        <f t="shared" si="14"/>
        <v/>
      </c>
      <c r="DP19" s="485"/>
      <c r="DQ19" s="278" t="str">
        <f t="shared" si="15"/>
        <v/>
      </c>
      <c r="DR19" s="9"/>
      <c r="DS19" s="9"/>
      <c r="DT19" s="9"/>
      <c r="DU19" s="9"/>
      <c r="DX19" s="9"/>
      <c r="DY19" s="304" t="s">
        <v>237</v>
      </c>
      <c r="DZ19" s="306"/>
      <c r="EA19" s="306"/>
      <c r="EB19" s="344">
        <f>J11/R15</f>
        <v>6.0975609756097562</v>
      </c>
      <c r="EC19" s="9"/>
      <c r="ED19" s="9"/>
      <c r="EE19" s="9"/>
      <c r="EF19" s="9"/>
      <c r="EG19" s="9"/>
      <c r="EJ19" s="9"/>
      <c r="EK19" s="9"/>
      <c r="EL19" s="9"/>
      <c r="EM19" s="9"/>
      <c r="EN19" s="9"/>
      <c r="EO19" s="9"/>
      <c r="EP19" s="9"/>
      <c r="EQ19" s="9"/>
    </row>
    <row r="20" spans="9:147" ht="18.95" customHeight="1" x14ac:dyDescent="0.25">
      <c r="AM20" s="259">
        <v>15</v>
      </c>
      <c r="AN20" s="310">
        <f t="shared" si="29"/>
        <v>224</v>
      </c>
      <c r="AO20" s="9">
        <f t="shared" si="16"/>
        <v>1</v>
      </c>
      <c r="AP20" s="289">
        <v>45246</v>
      </c>
      <c r="AQ20" s="9" t="str">
        <f t="shared" si="17"/>
        <v>Steer</v>
      </c>
      <c r="AR20" s="453">
        <f t="shared" ca="1" si="18"/>
        <v>492</v>
      </c>
      <c r="AS20" s="453">
        <f t="shared" ca="1" si="19"/>
        <v>546</v>
      </c>
      <c r="AT20" s="229">
        <f t="shared" si="7"/>
        <v>44</v>
      </c>
      <c r="AU20" s="290">
        <f t="shared" ca="1" si="20"/>
        <v>1.2272727272727273</v>
      </c>
      <c r="AV20" s="453" t="s">
        <v>302</v>
      </c>
      <c r="AW20" s="290" t="str">
        <f t="shared" ca="1" si="22"/>
        <v>N/A</v>
      </c>
      <c r="AX20" s="453"/>
      <c r="AY20" s="290" t="str">
        <f t="shared" si="24"/>
        <v>N/A</v>
      </c>
      <c r="AZ20" s="453"/>
      <c r="BA20" s="291">
        <f t="shared" si="25"/>
        <v>0</v>
      </c>
      <c r="BB20" s="292">
        <f t="shared" ca="1" si="8"/>
        <v>54</v>
      </c>
      <c r="BC20" s="229">
        <f t="shared" si="26"/>
        <v>164</v>
      </c>
      <c r="BD20" s="293">
        <f t="shared" ca="1" si="27"/>
        <v>0.32926829268292684</v>
      </c>
      <c r="BE20" s="293">
        <f t="shared" si="9"/>
        <v>0</v>
      </c>
      <c r="BF20" s="294">
        <f t="shared" ca="1" si="30"/>
        <v>91.041746064917675</v>
      </c>
      <c r="BG20" s="9"/>
      <c r="BH20" s="9"/>
      <c r="BI20" s="9"/>
      <c r="BJ20" s="9"/>
      <c r="BZ20" s="9"/>
      <c r="CA20" s="476"/>
      <c r="CB20" s="316">
        <f>IFERROR(VLOOKUP(CA20,Feed!$B$4:$H$19,2,FALSE)*($BR$8/$BQ$8)+VLOOKUP(CA20,Feed!$B$4:$H$19,3,FALSE)*($BS$8/$BQ$8)+VLOOKUP(CA20,Feed!$B$4:$H$19,4,FALSE)*($BT$8/$BQ$8)+VLOOKUP(CA20,Feed!$B$4:$H$19,5,FALSE)*($BU$8/$BQ$8),0)</f>
        <v>0</v>
      </c>
      <c r="CC20" s="299" t="str">
        <f>IFERROR(VLOOKUP('Example "lot" sheet'!$CA20,FeedIngLst,6,FALSE),"-")</f>
        <v>-</v>
      </c>
      <c r="CD20" s="299" t="str">
        <f>IFERROR(VLOOKUP('Example "lot" sheet'!$CA20,FeedIngLst,7,FALSE),"-")</f>
        <v>-</v>
      </c>
      <c r="CE20" s="482"/>
      <c r="CF20" s="299">
        <f t="shared" si="36"/>
        <v>0</v>
      </c>
      <c r="CG20" s="300">
        <f t="shared" si="35"/>
        <v>0</v>
      </c>
      <c r="CH20" s="301" t="str">
        <f>IFERROR('Example "lot" sheet'!$CB20/'Example "lot" sheet'!$CC20/(1-'Example "lot" sheet'!$CD20),"-")</f>
        <v>-</v>
      </c>
      <c r="CI20" s="9"/>
      <c r="CL20" s="9"/>
      <c r="CM20" s="380" t="s">
        <v>37</v>
      </c>
      <c r="CN20" s="381"/>
      <c r="CO20" s="382">
        <f ca="1">IFERROR(CO18/(MAX(AZ56,AX56,AV56,AS56)-AR56),)</f>
        <v>0.12447628898233673</v>
      </c>
      <c r="CP20" s="9"/>
      <c r="CQ20" s="9"/>
      <c r="CR20" s="9"/>
      <c r="CS20" s="9"/>
      <c r="CV20" s="9"/>
      <c r="CW20" s="9"/>
      <c r="CX20" s="9"/>
      <c r="CY20" s="9"/>
      <c r="CZ20" s="9"/>
      <c r="DA20" s="9"/>
      <c r="DB20" s="9"/>
      <c r="DC20" s="9"/>
      <c r="DD20" s="9"/>
      <c r="DE20" s="9"/>
      <c r="DF20" s="9"/>
      <c r="DI20" s="9"/>
      <c r="DJ20" s="484"/>
      <c r="DK20" s="485"/>
      <c r="DL20" s="9" t="str">
        <f t="shared" si="0"/>
        <v>-</v>
      </c>
      <c r="DM20" s="485"/>
      <c r="DN20" s="485"/>
      <c r="DO20" s="279" t="str">
        <f t="shared" si="14"/>
        <v/>
      </c>
      <c r="DP20" s="485"/>
      <c r="DQ20" s="278" t="str">
        <f t="shared" si="15"/>
        <v/>
      </c>
      <c r="DR20" s="9"/>
      <c r="DS20" s="9"/>
      <c r="DT20" s="9"/>
      <c r="DU20" s="9"/>
      <c r="DX20" s="9"/>
      <c r="DY20" s="304" t="s">
        <v>341</v>
      </c>
      <c r="DZ20" s="306" t="s">
        <v>343</v>
      </c>
      <c r="EA20" s="306"/>
      <c r="EB20" s="344">
        <f ca="1">J15*EB10</f>
        <v>36.975287725297243</v>
      </c>
      <c r="EC20" s="9"/>
      <c r="ED20" s="9"/>
      <c r="EE20" s="9"/>
      <c r="EF20" s="9"/>
      <c r="EG20" s="9"/>
      <c r="EJ20" s="9"/>
      <c r="EK20" s="9"/>
      <c r="EL20" s="9"/>
      <c r="EM20" s="9"/>
      <c r="EN20" s="9"/>
      <c r="EO20" s="9"/>
      <c r="EP20" s="9"/>
      <c r="EQ20" s="9"/>
    </row>
    <row r="21" spans="9:147" ht="18.95" customHeight="1" x14ac:dyDescent="0.25">
      <c r="AM21" s="259">
        <v>16</v>
      </c>
      <c r="AN21" s="310">
        <f t="shared" si="29"/>
        <v>225</v>
      </c>
      <c r="AO21" s="9">
        <f t="shared" si="16"/>
        <v>1</v>
      </c>
      <c r="AP21" s="289">
        <v>45246</v>
      </c>
      <c r="AQ21" s="9" t="str">
        <f t="shared" si="17"/>
        <v>Steer</v>
      </c>
      <c r="AR21" s="453">
        <f t="shared" ca="1" si="18"/>
        <v>518</v>
      </c>
      <c r="AS21" s="453">
        <f t="shared" ca="1" si="19"/>
        <v>604</v>
      </c>
      <c r="AT21" s="229">
        <f t="shared" si="7"/>
        <v>44</v>
      </c>
      <c r="AU21" s="290">
        <f t="shared" ca="1" si="20"/>
        <v>1.9545454545454546</v>
      </c>
      <c r="AV21" s="453">
        <f t="shared" ca="1" si="21"/>
        <v>660</v>
      </c>
      <c r="AW21" s="290">
        <f t="shared" ca="1" si="22"/>
        <v>1.4</v>
      </c>
      <c r="AX21" s="453">
        <f t="shared" ca="1" si="23"/>
        <v>701</v>
      </c>
      <c r="AY21" s="290">
        <f t="shared" ca="1" si="24"/>
        <v>0.91111111111111109</v>
      </c>
      <c r="AZ21" s="453">
        <f t="shared" ca="1" si="23"/>
        <v>767</v>
      </c>
      <c r="BA21" s="291">
        <f t="shared" ca="1" si="25"/>
        <v>2</v>
      </c>
      <c r="BB21" s="292">
        <f t="shared" ca="1" si="8"/>
        <v>249</v>
      </c>
      <c r="BC21" s="229">
        <f t="shared" si="26"/>
        <v>164</v>
      </c>
      <c r="BD21" s="293">
        <f t="shared" ca="1" si="27"/>
        <v>1.5182926829268293</v>
      </c>
      <c r="BE21" s="293">
        <f t="shared" si="9"/>
        <v>0</v>
      </c>
      <c r="BF21" s="294">
        <f t="shared" ca="1" si="30"/>
        <v>597.87966052661625</v>
      </c>
      <c r="BG21" s="9"/>
      <c r="BH21" s="9"/>
      <c r="BI21" s="9"/>
      <c r="BJ21" s="9"/>
      <c r="BZ21" s="9"/>
      <c r="CA21" s="476"/>
      <c r="CB21" s="316">
        <f>IFERROR(VLOOKUP(CA21,Feed!$B$4:$H$19,2,FALSE)*($BR$8/$BQ$8)+VLOOKUP(CA21,Feed!$B$4:$H$19,3,FALSE)*($BS$8/$BQ$8)+VLOOKUP(CA21,Feed!$B$4:$H$19,4,FALSE)*($BT$8/$BQ$8)+VLOOKUP(CA21,Feed!$B$4:$H$19,5,FALSE)*($BU$8/$BQ$8),0)</f>
        <v>0</v>
      </c>
      <c r="CC21" s="299" t="str">
        <f>IFERROR(VLOOKUP('Example "lot" sheet'!$CA21,FeedIngLst,6,FALSE),"-")</f>
        <v>-</v>
      </c>
      <c r="CD21" s="299" t="str">
        <f>IFERROR(VLOOKUP('Example "lot" sheet'!$CA21,FeedIngLst,7,FALSE),"-")</f>
        <v>-</v>
      </c>
      <c r="CE21" s="482"/>
      <c r="CF21" s="299">
        <f t="shared" si="36"/>
        <v>0</v>
      </c>
      <c r="CG21" s="300">
        <f t="shared" si="35"/>
        <v>0</v>
      </c>
      <c r="CH21" s="301" t="str">
        <f>IFERROR('Example "lot" sheet'!$CB21/'Example "lot" sheet'!$CC21/(1-'Example "lot" sheet'!$CD21),"-")</f>
        <v>-</v>
      </c>
      <c r="CI21" s="9"/>
      <c r="CL21" s="9"/>
      <c r="CM21" s="380" t="s">
        <v>225</v>
      </c>
      <c r="CN21" s="381"/>
      <c r="CO21" s="388">
        <f>CO10-CG12-CG23-CG34-CG45-CG56</f>
        <v>15.846499999999999</v>
      </c>
      <c r="CP21" s="9"/>
      <c r="CQ21" s="9"/>
      <c r="CR21" s="9"/>
      <c r="CS21" s="9"/>
      <c r="DI21" s="9"/>
      <c r="DJ21" s="484"/>
      <c r="DK21" s="485"/>
      <c r="DL21" s="9" t="str">
        <f t="shared" si="0"/>
        <v>-</v>
      </c>
      <c r="DM21" s="485"/>
      <c r="DN21" s="485"/>
      <c r="DO21" s="279" t="str">
        <f t="shared" si="14"/>
        <v/>
      </c>
      <c r="DP21" s="485"/>
      <c r="DQ21" s="278" t="str">
        <f t="shared" si="15"/>
        <v/>
      </c>
      <c r="DR21" s="9"/>
      <c r="DS21" s="9"/>
      <c r="DT21" s="9"/>
      <c r="DU21" s="9"/>
      <c r="DX21" s="9"/>
      <c r="DY21" s="304" t="s">
        <v>192</v>
      </c>
      <c r="DZ21" s="389"/>
      <c r="EA21" s="9"/>
      <c r="EB21" s="344">
        <f>'Yardage Calculator'!F43*'Example "lot" sheet'!BQ12</f>
        <v>48.153866666666659</v>
      </c>
      <c r="EC21" s="9"/>
      <c r="ED21" s="9"/>
      <c r="EE21" s="9"/>
      <c r="EF21" s="9"/>
      <c r="EG21" s="9"/>
      <c r="EJ21" s="9"/>
      <c r="EK21" s="9"/>
      <c r="EL21" s="9"/>
      <c r="EM21" s="9"/>
      <c r="EN21" s="9"/>
      <c r="EO21" s="9"/>
      <c r="EP21" s="9"/>
      <c r="EQ21" s="9"/>
    </row>
    <row r="22" spans="9:147" ht="18.95" customHeight="1" x14ac:dyDescent="0.25">
      <c r="AM22" s="259">
        <v>17</v>
      </c>
      <c r="AN22" s="310">
        <f t="shared" si="29"/>
        <v>226</v>
      </c>
      <c r="AO22" s="9">
        <f t="shared" si="16"/>
        <v>1</v>
      </c>
      <c r="AP22" s="289">
        <v>45246</v>
      </c>
      <c r="AQ22" s="9" t="str">
        <f t="shared" si="17"/>
        <v>Steer</v>
      </c>
      <c r="AR22" s="453">
        <f t="shared" ca="1" si="18"/>
        <v>524</v>
      </c>
      <c r="AS22" s="453">
        <f t="shared" ca="1" si="19"/>
        <v>603</v>
      </c>
      <c r="AT22" s="229">
        <f t="shared" si="7"/>
        <v>44</v>
      </c>
      <c r="AU22" s="290">
        <f t="shared" ca="1" si="20"/>
        <v>1.7954545454545454</v>
      </c>
      <c r="AV22" s="453">
        <f t="shared" ca="1" si="21"/>
        <v>669</v>
      </c>
      <c r="AW22" s="290">
        <f t="shared" ca="1" si="22"/>
        <v>1.65</v>
      </c>
      <c r="AX22" s="453">
        <f t="shared" ca="1" si="23"/>
        <v>739</v>
      </c>
      <c r="AY22" s="290">
        <f t="shared" ca="1" si="24"/>
        <v>1.5555555555555556</v>
      </c>
      <c r="AZ22" s="453">
        <f t="shared" ca="1" si="23"/>
        <v>824</v>
      </c>
      <c r="BA22" s="291">
        <f t="shared" ca="1" si="25"/>
        <v>2.5757575757575757</v>
      </c>
      <c r="BB22" s="292">
        <f t="shared" ca="1" si="8"/>
        <v>300</v>
      </c>
      <c r="BC22" s="229">
        <f t="shared" si="26"/>
        <v>164</v>
      </c>
      <c r="BD22" s="293">
        <f t="shared" ca="1" si="27"/>
        <v>1.8292682926829269</v>
      </c>
      <c r="BE22" s="293">
        <f t="shared" si="9"/>
        <v>0</v>
      </c>
      <c r="BF22" s="294">
        <f t="shared" ca="1" si="30"/>
        <v>728.60256154162437</v>
      </c>
      <c r="BG22" s="9"/>
      <c r="BH22" s="9"/>
      <c r="BI22" s="9"/>
      <c r="BJ22" s="9"/>
      <c r="BZ22" s="9"/>
      <c r="CA22" s="476" t="s">
        <v>213</v>
      </c>
      <c r="CB22" s="316">
        <v>600</v>
      </c>
      <c r="CC22" s="299">
        <v>1</v>
      </c>
      <c r="CD22" s="299" t="str">
        <f>IFERROR(VLOOKUP('Example "lot" sheet'!$CA22,FeedIngLst,7,FALSE),"-")</f>
        <v>-</v>
      </c>
      <c r="CE22" s="482"/>
      <c r="CF22" s="299">
        <f t="shared" si="36"/>
        <v>0</v>
      </c>
      <c r="CG22" s="300">
        <f t="shared" si="35"/>
        <v>0</v>
      </c>
      <c r="CH22" s="301" t="str">
        <f>IFERROR('Example "lot" sheet'!$CB22/'Example "lot" sheet'!$CC22/(1-'Example "lot" sheet'!$CD22),"-")</f>
        <v>-</v>
      </c>
      <c r="CI22" s="9"/>
      <c r="CL22" s="9"/>
      <c r="CM22" s="254" t="s">
        <v>222</v>
      </c>
      <c r="CN22" s="255"/>
      <c r="CO22" s="276">
        <f>(CO10-CO21)*CB61</f>
        <v>41.210256410256413</v>
      </c>
      <c r="CP22" s="9"/>
      <c r="CQ22" s="9"/>
      <c r="CR22" s="9"/>
      <c r="CS22" s="9"/>
      <c r="DI22" s="9"/>
      <c r="DJ22" s="484"/>
      <c r="DK22" s="485"/>
      <c r="DL22" s="9" t="str">
        <f t="shared" si="0"/>
        <v>-</v>
      </c>
      <c r="DM22" s="485"/>
      <c r="DN22" s="485"/>
      <c r="DO22" s="279" t="str">
        <f t="shared" si="14"/>
        <v/>
      </c>
      <c r="DP22" s="485"/>
      <c r="DQ22" s="278" t="str">
        <f t="shared" si="15"/>
        <v/>
      </c>
      <c r="DR22" s="9"/>
      <c r="DS22" s="9"/>
      <c r="DT22" s="9"/>
      <c r="DU22" s="9"/>
      <c r="DX22" s="9"/>
      <c r="DY22" s="304" t="s">
        <v>241</v>
      </c>
      <c r="DZ22" s="306" t="s">
        <v>243</v>
      </c>
      <c r="EA22" s="306"/>
      <c r="EB22" s="344">
        <f>J14</f>
        <v>20</v>
      </c>
      <c r="EC22" s="9"/>
      <c r="ED22" s="9"/>
      <c r="EE22" s="9"/>
      <c r="EF22" s="9"/>
      <c r="EG22" s="9"/>
    </row>
    <row r="23" spans="9:147" ht="18.95" customHeight="1" x14ac:dyDescent="0.25">
      <c r="AM23" s="259">
        <v>18</v>
      </c>
      <c r="AN23" s="310">
        <f t="shared" si="29"/>
        <v>227</v>
      </c>
      <c r="AO23" s="9">
        <f t="shared" si="16"/>
        <v>1</v>
      </c>
      <c r="AP23" s="289">
        <v>45246</v>
      </c>
      <c r="AQ23" s="9" t="str">
        <f t="shared" si="17"/>
        <v>Steer</v>
      </c>
      <c r="AR23" s="453">
        <f t="shared" ca="1" si="18"/>
        <v>481</v>
      </c>
      <c r="AS23" s="453">
        <f t="shared" ca="1" si="19"/>
        <v>530</v>
      </c>
      <c r="AT23" s="229">
        <f t="shared" si="7"/>
        <v>44</v>
      </c>
      <c r="AU23" s="290">
        <f t="shared" ca="1" si="20"/>
        <v>1.1136363636363635</v>
      </c>
      <c r="AV23" s="453">
        <f t="shared" ca="1" si="21"/>
        <v>592</v>
      </c>
      <c r="AW23" s="290">
        <f t="shared" ca="1" si="22"/>
        <v>1.55</v>
      </c>
      <c r="AX23" s="453">
        <f t="shared" ca="1" si="23"/>
        <v>666</v>
      </c>
      <c r="AY23" s="290">
        <f t="shared" ca="1" si="24"/>
        <v>1.6444444444444444</v>
      </c>
      <c r="AZ23" s="453">
        <f t="shared" ca="1" si="23"/>
        <v>713</v>
      </c>
      <c r="BA23" s="291">
        <f t="shared" ca="1" si="25"/>
        <v>1.4242424242424243</v>
      </c>
      <c r="BB23" s="292">
        <f t="shared" ca="1" si="8"/>
        <v>232</v>
      </c>
      <c r="BC23" s="229">
        <f t="shared" si="26"/>
        <v>164</v>
      </c>
      <c r="BD23" s="293">
        <f t="shared" ca="1" si="27"/>
        <v>1.4146341463414633</v>
      </c>
      <c r="BE23" s="293">
        <f t="shared" si="9"/>
        <v>0</v>
      </c>
      <c r="BF23" s="294">
        <f t="shared" ca="1" si="30"/>
        <v>474.03691219660834</v>
      </c>
      <c r="BG23" s="9"/>
      <c r="BH23" s="9"/>
      <c r="BI23" s="9"/>
      <c r="BJ23" s="9"/>
      <c r="BZ23" s="9"/>
      <c r="CA23" s="338" t="s">
        <v>330</v>
      </c>
      <c r="CB23" s="339">
        <f>'AUM Evaluator'!$S$9*$CB$61</f>
        <v>78.359787947924048</v>
      </c>
      <c r="CC23" s="299">
        <v>1</v>
      </c>
      <c r="CD23" s="340">
        <v>0</v>
      </c>
      <c r="CE23" s="483">
        <v>28</v>
      </c>
      <c r="CF23" s="341">
        <f t="shared" si="36"/>
        <v>0.82352941176470584</v>
      </c>
      <c r="CG23" s="342">
        <f t="shared" si="35"/>
        <v>16.071999999999999</v>
      </c>
      <c r="CH23" s="343">
        <f>IFERROR('Example "lot" sheet'!$CB23/'Example "lot" sheet'!$CC23/(1-'Example "lot" sheet'!$CD23),"-")</f>
        <v>78.359787947924048</v>
      </c>
      <c r="CI23" s="9"/>
      <c r="CJ23" s="390"/>
      <c r="CK23" s="390"/>
      <c r="CL23" s="391"/>
      <c r="CM23" s="392" t="s">
        <v>230</v>
      </c>
      <c r="CN23" s="393"/>
      <c r="CO23" s="394">
        <f>IFERROR(CO22/R15*'AUM Evaluator'!S9,)</f>
        <v>30.717036875586228</v>
      </c>
      <c r="CP23" s="391"/>
      <c r="CQ23" s="391"/>
      <c r="CR23" s="391"/>
      <c r="CS23" s="391"/>
      <c r="CT23" s="390"/>
      <c r="CU23" s="390"/>
      <c r="DG23" s="390"/>
      <c r="DH23" s="390"/>
      <c r="DI23" s="9"/>
      <c r="DJ23" s="484"/>
      <c r="DK23" s="485"/>
      <c r="DL23" s="9" t="str">
        <f t="shared" si="0"/>
        <v>-</v>
      </c>
      <c r="DM23" s="485"/>
      <c r="DN23" s="485"/>
      <c r="DO23" s="279" t="str">
        <f t="shared" si="14"/>
        <v/>
      </c>
      <c r="DP23" s="485"/>
      <c r="DQ23" s="278" t="str">
        <f t="shared" si="15"/>
        <v/>
      </c>
      <c r="DR23" s="9"/>
      <c r="DS23" s="9"/>
      <c r="DT23" s="9"/>
      <c r="DU23" s="9"/>
      <c r="DV23" s="390"/>
      <c r="DW23" s="390"/>
      <c r="DX23" s="9"/>
      <c r="DY23" s="395" t="s">
        <v>240</v>
      </c>
      <c r="DZ23" s="306"/>
      <c r="EA23" s="306"/>
      <c r="EB23" s="344">
        <f ca="1">IFERROR(SUM(EB12,EB13,EB14:EB22)*J12*(BQ12/365),)</f>
        <v>13.576650507796037</v>
      </c>
      <c r="EC23" s="9"/>
      <c r="ED23" s="9"/>
      <c r="EE23" s="9"/>
      <c r="EF23" s="9"/>
      <c r="EG23" s="9"/>
    </row>
    <row r="24" spans="9:147" ht="18.95" customHeight="1" x14ac:dyDescent="0.25">
      <c r="AM24" s="259">
        <v>19</v>
      </c>
      <c r="AN24" s="310">
        <f t="shared" si="29"/>
        <v>228</v>
      </c>
      <c r="AO24" s="9">
        <f t="shared" si="16"/>
        <v>1</v>
      </c>
      <c r="AP24" s="289">
        <v>45246</v>
      </c>
      <c r="AQ24" s="9" t="str">
        <f t="shared" si="17"/>
        <v>Steer</v>
      </c>
      <c r="AR24" s="453">
        <f t="shared" ca="1" si="18"/>
        <v>506</v>
      </c>
      <c r="AS24" s="453">
        <f t="shared" ca="1" si="19"/>
        <v>563</v>
      </c>
      <c r="AT24" s="229">
        <f t="shared" si="7"/>
        <v>44</v>
      </c>
      <c r="AU24" s="290">
        <f t="shared" ca="1" si="20"/>
        <v>1.2954545454545454</v>
      </c>
      <c r="AV24" s="453">
        <f t="shared" ca="1" si="21"/>
        <v>652</v>
      </c>
      <c r="AW24" s="290">
        <f t="shared" ca="1" si="22"/>
        <v>2.2250000000000001</v>
      </c>
      <c r="AX24" s="453">
        <f t="shared" ca="1" si="23"/>
        <v>725</v>
      </c>
      <c r="AY24" s="290">
        <f t="shared" ca="1" si="24"/>
        <v>1.6222222222222222</v>
      </c>
      <c r="AZ24" s="453">
        <f t="shared" ca="1" si="23"/>
        <v>785</v>
      </c>
      <c r="BA24" s="291">
        <f t="shared" ca="1" si="25"/>
        <v>1.8181818181818181</v>
      </c>
      <c r="BB24" s="292">
        <f t="shared" ca="1" si="8"/>
        <v>279</v>
      </c>
      <c r="BC24" s="229">
        <f t="shared" si="26"/>
        <v>164</v>
      </c>
      <c r="BD24" s="293">
        <f t="shared" ca="1" si="27"/>
        <v>1.7012195121951219</v>
      </c>
      <c r="BE24" s="293">
        <f t="shared" si="9"/>
        <v>0</v>
      </c>
      <c r="BF24" s="294">
        <f t="shared" ca="1" si="30"/>
        <v>639.16057663661866</v>
      </c>
      <c r="BG24" s="9"/>
      <c r="BH24" s="9"/>
      <c r="BI24" s="9"/>
      <c r="BJ24" s="9"/>
      <c r="BZ24" s="9"/>
      <c r="CA24" s="348"/>
      <c r="CB24" s="349"/>
      <c r="CC24" s="350" t="s">
        <v>58</v>
      </c>
      <c r="CD24" s="351"/>
      <c r="CE24" s="352">
        <f>SUM(CE17:CE23)</f>
        <v>34</v>
      </c>
      <c r="CF24" s="353">
        <f>SUM(CF17:CF23)</f>
        <v>1</v>
      </c>
      <c r="CG24" s="352">
        <f t="shared" si="35"/>
        <v>19.515999999999998</v>
      </c>
      <c r="CH24" s="354"/>
      <c r="CI24" s="9"/>
      <c r="CL24" s="9"/>
      <c r="CM24" s="9"/>
      <c r="CN24" s="9"/>
      <c r="CO24" s="9"/>
      <c r="CP24" s="9"/>
      <c r="CQ24" s="9"/>
      <c r="CR24" s="9"/>
      <c r="CS24" s="9"/>
      <c r="DI24" s="9"/>
      <c r="DJ24" s="484"/>
      <c r="DK24" s="485"/>
      <c r="DL24" s="9" t="str">
        <f t="shared" si="0"/>
        <v>-</v>
      </c>
      <c r="DM24" s="485"/>
      <c r="DN24" s="485"/>
      <c r="DO24" s="279" t="str">
        <f t="shared" si="14"/>
        <v/>
      </c>
      <c r="DP24" s="485"/>
      <c r="DQ24" s="278" t="str">
        <f t="shared" si="15"/>
        <v/>
      </c>
      <c r="DR24" s="9"/>
      <c r="DS24" s="9"/>
      <c r="DT24" s="9"/>
      <c r="DU24" s="9"/>
      <c r="DX24" s="9"/>
      <c r="DY24" s="396"/>
      <c r="DZ24" s="626" t="s">
        <v>128</v>
      </c>
      <c r="EA24" s="626"/>
      <c r="EB24" s="397">
        <f ca="1">SUM(EB12:EB23)</f>
        <v>1304.0655659623674</v>
      </c>
      <c r="EC24" s="9"/>
      <c r="ED24" s="9"/>
      <c r="EE24" s="9"/>
      <c r="EF24" s="9"/>
      <c r="EG24" s="9"/>
    </row>
    <row r="25" spans="9:147" ht="18.95" customHeight="1" thickBot="1" x14ac:dyDescent="0.3">
      <c r="AM25" s="259">
        <v>20</v>
      </c>
      <c r="AN25" s="310">
        <f t="shared" si="29"/>
        <v>229</v>
      </c>
      <c r="AO25" s="9">
        <f t="shared" si="16"/>
        <v>1</v>
      </c>
      <c r="AP25" s="289">
        <v>45246</v>
      </c>
      <c r="AQ25" s="9" t="str">
        <f t="shared" si="17"/>
        <v>Steer</v>
      </c>
      <c r="AR25" s="453">
        <f t="shared" ca="1" si="18"/>
        <v>510</v>
      </c>
      <c r="AS25" s="453">
        <f t="shared" ca="1" si="19"/>
        <v>541</v>
      </c>
      <c r="AT25" s="229">
        <f t="shared" si="7"/>
        <v>44</v>
      </c>
      <c r="AU25" s="290">
        <f t="shared" ca="1" si="20"/>
        <v>0.70454545454545459</v>
      </c>
      <c r="AV25" s="453">
        <f t="shared" ca="1" si="21"/>
        <v>626</v>
      </c>
      <c r="AW25" s="293">
        <f t="shared" ca="1" si="22"/>
        <v>2.125</v>
      </c>
      <c r="AX25" s="453">
        <f t="shared" ca="1" si="23"/>
        <v>713</v>
      </c>
      <c r="AY25" s="290">
        <f t="shared" ca="1" si="24"/>
        <v>1.9333333333333333</v>
      </c>
      <c r="AZ25" s="453">
        <f t="shared" ca="1" si="23"/>
        <v>758</v>
      </c>
      <c r="BA25" s="291">
        <f t="shared" ca="1" si="25"/>
        <v>1.3636363636363635</v>
      </c>
      <c r="BB25" s="292">
        <f t="shared" ca="1" si="8"/>
        <v>248</v>
      </c>
      <c r="BC25" s="229">
        <f t="shared" si="26"/>
        <v>164</v>
      </c>
      <c r="BD25" s="293">
        <f t="shared" ca="1" si="27"/>
        <v>1.5121951219512195</v>
      </c>
      <c r="BE25" s="293">
        <f t="shared" si="9"/>
        <v>0</v>
      </c>
      <c r="BF25" s="294">
        <f t="shared" ca="1" si="30"/>
        <v>577.23920247161516</v>
      </c>
      <c r="BG25" s="9"/>
      <c r="BH25" s="9"/>
      <c r="BI25" s="9"/>
      <c r="BJ25" s="9"/>
      <c r="BZ25" s="9"/>
      <c r="CA25" s="363"/>
      <c r="CB25" s="364"/>
      <c r="CC25" s="365"/>
      <c r="CD25" s="366" t="s">
        <v>208</v>
      </c>
      <c r="CE25" s="366"/>
      <c r="CF25" s="367"/>
      <c r="CG25" s="367"/>
      <c r="CH25" s="368">
        <f>SUMPRODUCT(CF17:CF23,CH17:CH23,CC17:CC23)</f>
        <v>64.53159007476097</v>
      </c>
      <c r="CI25" s="9"/>
      <c r="CL25" s="9"/>
      <c r="CM25" s="9"/>
      <c r="CN25" s="9"/>
      <c r="CO25" s="9"/>
      <c r="CP25" s="9"/>
      <c r="CQ25" s="9"/>
      <c r="CR25" s="9"/>
      <c r="CS25" s="9"/>
      <c r="DI25" s="9"/>
      <c r="DJ25" s="484"/>
      <c r="DK25" s="485"/>
      <c r="DL25" s="9" t="str">
        <f t="shared" si="0"/>
        <v>-</v>
      </c>
      <c r="DM25" s="485"/>
      <c r="DN25" s="485"/>
      <c r="DO25" s="279" t="str">
        <f t="shared" si="14"/>
        <v/>
      </c>
      <c r="DP25" s="485"/>
      <c r="DQ25" s="278" t="str">
        <f t="shared" si="15"/>
        <v/>
      </c>
      <c r="DR25" s="9"/>
      <c r="DS25" s="9"/>
      <c r="DT25" s="9"/>
      <c r="DU25" s="9"/>
      <c r="DX25" s="9"/>
      <c r="DY25" s="384"/>
      <c r="DZ25" s="627" t="s">
        <v>351</v>
      </c>
      <c r="EA25" s="627" t="s">
        <v>137</v>
      </c>
      <c r="EB25" s="398">
        <f ca="1">EB10-EB24</f>
        <v>-71.555975119125833</v>
      </c>
      <c r="EC25" s="9"/>
      <c r="ED25" s="9"/>
      <c r="EE25" s="9"/>
      <c r="EF25" s="9"/>
      <c r="EG25" s="9"/>
    </row>
    <row r="26" spans="9:147" ht="18.95" customHeight="1" thickBot="1" x14ac:dyDescent="0.3">
      <c r="AM26" s="259">
        <v>21</v>
      </c>
      <c r="AN26" s="310">
        <f t="shared" si="29"/>
        <v>230</v>
      </c>
      <c r="AO26" s="9">
        <f t="shared" si="16"/>
        <v>1</v>
      </c>
      <c r="AP26" s="289">
        <v>45246</v>
      </c>
      <c r="AQ26" s="9" t="str">
        <f t="shared" si="17"/>
        <v>Steer</v>
      </c>
      <c r="AR26" s="453">
        <f t="shared" ca="1" si="18"/>
        <v>560</v>
      </c>
      <c r="AS26" s="453">
        <f t="shared" ca="1" si="19"/>
        <v>625</v>
      </c>
      <c r="AT26" s="229">
        <f t="shared" si="7"/>
        <v>44</v>
      </c>
      <c r="AU26" s="290">
        <f t="shared" ca="1" si="20"/>
        <v>1.4772727272727273</v>
      </c>
      <c r="AV26" s="453">
        <f t="shared" ca="1" si="21"/>
        <v>662</v>
      </c>
      <c r="AW26" s="290">
        <f t="shared" ca="1" si="22"/>
        <v>0.92500000000000004</v>
      </c>
      <c r="AX26" s="453">
        <f t="shared" ca="1" si="23"/>
        <v>747</v>
      </c>
      <c r="AY26" s="290">
        <f t="shared" ca="1" si="24"/>
        <v>1.8888888888888888</v>
      </c>
      <c r="AZ26" s="453">
        <f t="shared" ca="1" si="23"/>
        <v>788</v>
      </c>
      <c r="BA26" s="291">
        <f t="shared" ca="1" si="25"/>
        <v>1.2424242424242424</v>
      </c>
      <c r="BB26" s="292">
        <f t="shared" ca="1" si="8"/>
        <v>228</v>
      </c>
      <c r="BC26" s="229">
        <f t="shared" si="26"/>
        <v>164</v>
      </c>
      <c r="BD26" s="293">
        <f t="shared" ca="1" si="27"/>
        <v>1.3902439024390243</v>
      </c>
      <c r="BE26" s="293">
        <f t="shared" si="9"/>
        <v>0</v>
      </c>
      <c r="BF26" s="294">
        <f t="shared" ca="1" si="30"/>
        <v>646.04072932161932</v>
      </c>
      <c r="BG26" s="9"/>
      <c r="BH26" s="9"/>
      <c r="BI26" s="9"/>
      <c r="BJ26" s="9"/>
      <c r="BZ26" s="9"/>
      <c r="CA26" s="9"/>
      <c r="CB26" s="9"/>
      <c r="CC26" s="9"/>
      <c r="CD26" s="9"/>
      <c r="CE26" s="9"/>
      <c r="CF26" s="9"/>
      <c r="CG26" s="9"/>
      <c r="CH26" s="9"/>
      <c r="CI26" s="9"/>
      <c r="CM26" s="390"/>
      <c r="CN26" s="390"/>
      <c r="CO26" s="390"/>
      <c r="DI26" s="9"/>
      <c r="DJ26" s="484"/>
      <c r="DK26" s="485"/>
      <c r="DL26" s="9" t="str">
        <f t="shared" si="0"/>
        <v>-</v>
      </c>
      <c r="DM26" s="485"/>
      <c r="DN26" s="485"/>
      <c r="DO26" s="279" t="str">
        <f t="shared" si="14"/>
        <v/>
      </c>
      <c r="DP26" s="485"/>
      <c r="DQ26" s="278" t="str">
        <f t="shared" si="15"/>
        <v/>
      </c>
      <c r="DR26" s="9"/>
      <c r="DS26" s="9"/>
      <c r="DT26" s="9"/>
      <c r="DU26" s="9"/>
      <c r="DX26" s="9"/>
      <c r="DY26" s="166"/>
      <c r="DZ26" s="166"/>
      <c r="EA26" s="166"/>
      <c r="EB26" s="166"/>
      <c r="EC26" s="9"/>
      <c r="ED26" s="9"/>
      <c r="EE26" s="9"/>
      <c r="EF26" s="9"/>
      <c r="EG26" s="9"/>
    </row>
    <row r="27" spans="9:147" ht="34.5" customHeight="1" x14ac:dyDescent="0.25">
      <c r="AM27" s="259">
        <v>22</v>
      </c>
      <c r="AN27" s="310">
        <f t="shared" si="29"/>
        <v>231</v>
      </c>
      <c r="AO27" s="9">
        <f t="shared" si="16"/>
        <v>1</v>
      </c>
      <c r="AP27" s="289">
        <v>45246</v>
      </c>
      <c r="AQ27" s="9" t="str">
        <f t="shared" si="17"/>
        <v>Steer</v>
      </c>
      <c r="AR27" s="453">
        <f t="shared" ca="1" si="18"/>
        <v>524</v>
      </c>
      <c r="AS27" s="453">
        <f t="shared" ca="1" si="19"/>
        <v>598</v>
      </c>
      <c r="AT27" s="229">
        <f t="shared" si="7"/>
        <v>44</v>
      </c>
      <c r="AU27" s="290">
        <f t="shared" ca="1" si="20"/>
        <v>1.6818181818181819</v>
      </c>
      <c r="AV27" s="453">
        <f t="shared" ca="1" si="21"/>
        <v>657</v>
      </c>
      <c r="AW27" s="290">
        <f t="shared" ca="1" si="22"/>
        <v>1.4750000000000001</v>
      </c>
      <c r="AX27" s="453">
        <f t="shared" ca="1" si="23"/>
        <v>736</v>
      </c>
      <c r="AY27" s="290">
        <f t="shared" ca="1" si="24"/>
        <v>1.7555555555555555</v>
      </c>
      <c r="AZ27" s="453">
        <f t="shared" ca="1" si="23"/>
        <v>821</v>
      </c>
      <c r="BA27" s="291">
        <f t="shared" ca="1" si="25"/>
        <v>2.5757575757575757</v>
      </c>
      <c r="BB27" s="292">
        <f t="shared" ca="1" si="8"/>
        <v>297</v>
      </c>
      <c r="BC27" s="229">
        <f t="shared" si="26"/>
        <v>164</v>
      </c>
      <c r="BD27" s="293">
        <f t="shared" ca="1" si="27"/>
        <v>1.8109756097560976</v>
      </c>
      <c r="BE27" s="293">
        <f t="shared" si="9"/>
        <v>0</v>
      </c>
      <c r="BF27" s="294">
        <f t="shared" ca="1" si="30"/>
        <v>721.72240885662416</v>
      </c>
      <c r="BG27" s="9"/>
      <c r="BH27" s="9"/>
      <c r="BI27" s="9"/>
      <c r="BJ27" s="9"/>
      <c r="BZ27" s="9"/>
      <c r="CA27" s="273" t="str">
        <f>IF('Example "lot" sheet'!BN9=BN17,"-",'Example "lot" sheet'!BN9)</f>
        <v>Mid-weight dry lot</v>
      </c>
      <c r="CB27" s="54" t="s">
        <v>328</v>
      </c>
      <c r="CC27" s="54" t="s">
        <v>205</v>
      </c>
      <c r="CD27" s="54" t="s">
        <v>95</v>
      </c>
      <c r="CE27" s="54" t="s">
        <v>326</v>
      </c>
      <c r="CF27" s="54" t="s">
        <v>206</v>
      </c>
      <c r="CG27" s="54" t="s">
        <v>234</v>
      </c>
      <c r="CH27" s="274" t="s">
        <v>209</v>
      </c>
      <c r="CI27" s="9"/>
      <c r="DI27" s="9"/>
      <c r="DJ27" s="484"/>
      <c r="DK27" s="485"/>
      <c r="DL27" s="9" t="str">
        <f t="shared" si="0"/>
        <v>-</v>
      </c>
      <c r="DM27" s="485"/>
      <c r="DN27" s="485"/>
      <c r="DO27" s="279" t="str">
        <f t="shared" si="14"/>
        <v/>
      </c>
      <c r="DP27" s="485"/>
      <c r="DQ27" s="278" t="str">
        <f t="shared" si="15"/>
        <v/>
      </c>
      <c r="DR27" s="9"/>
      <c r="DS27" s="9"/>
      <c r="DT27" s="9"/>
      <c r="DU27" s="9"/>
      <c r="DY27" s="183"/>
      <c r="DZ27" s="183"/>
      <c r="EA27" s="183"/>
      <c r="EB27" s="183"/>
    </row>
    <row r="28" spans="9:147" ht="18.95" customHeight="1" x14ac:dyDescent="0.25">
      <c r="AM28" s="259">
        <v>23</v>
      </c>
      <c r="AN28" s="310">
        <f t="shared" si="29"/>
        <v>232</v>
      </c>
      <c r="AO28" s="9">
        <f t="shared" si="16"/>
        <v>1</v>
      </c>
      <c r="AP28" s="289">
        <v>45246</v>
      </c>
      <c r="AQ28" s="9" t="str">
        <f t="shared" si="17"/>
        <v>Steer</v>
      </c>
      <c r="AR28" s="453">
        <f t="shared" ca="1" si="18"/>
        <v>494</v>
      </c>
      <c r="AS28" s="453">
        <f t="shared" ca="1" si="19"/>
        <v>538</v>
      </c>
      <c r="AT28" s="229">
        <f t="shared" si="7"/>
        <v>44</v>
      </c>
      <c r="AU28" s="290">
        <f t="shared" ca="1" si="20"/>
        <v>1</v>
      </c>
      <c r="AV28" s="453">
        <f t="shared" ca="1" si="21"/>
        <v>590</v>
      </c>
      <c r="AW28" s="290">
        <f t="shared" ca="1" si="22"/>
        <v>1.3</v>
      </c>
      <c r="AX28" s="453">
        <f t="shared" ca="1" si="23"/>
        <v>632</v>
      </c>
      <c r="AY28" s="290">
        <f t="shared" ca="1" si="24"/>
        <v>0.93333333333333335</v>
      </c>
      <c r="AZ28" s="453">
        <f t="shared" ca="1" si="23"/>
        <v>696</v>
      </c>
      <c r="BA28" s="291">
        <f t="shared" ca="1" si="25"/>
        <v>1.9393939393939394</v>
      </c>
      <c r="BB28" s="292">
        <f t="shared" ca="1" si="8"/>
        <v>202</v>
      </c>
      <c r="BC28" s="229">
        <f t="shared" si="26"/>
        <v>164</v>
      </c>
      <c r="BD28" s="293">
        <f t="shared" ca="1" si="27"/>
        <v>1.2317073170731707</v>
      </c>
      <c r="BE28" s="293">
        <f t="shared" si="9"/>
        <v>0</v>
      </c>
      <c r="BF28" s="294">
        <f t="shared" ca="1" si="30"/>
        <v>435.04938031493941</v>
      </c>
      <c r="BG28" s="9"/>
      <c r="BH28" s="9"/>
      <c r="BI28" s="9"/>
      <c r="BJ28" s="9"/>
      <c r="BZ28" s="9"/>
      <c r="CA28" s="476" t="s">
        <v>216</v>
      </c>
      <c r="CB28" s="298">
        <f>IFERROR(VLOOKUP(CA28,Feed!$B$4:$H$19,2,FALSE)*($BR$9/$BQ$9)+VLOOKUP(CA28,Feed!$B$4:$H$19,3,FALSE)*($BS$9/$BQ$9)+VLOOKUP(CA28,Feed!$B$4:$H$19,4,FALSE)*($BT$9/$BQ$9)+VLOOKUP(CA28,Feed!$B$4:$H$19,5,FALSE)*($BU$9/$BQ$9),0)</f>
        <v>0</v>
      </c>
      <c r="CC28" s="299" t="str">
        <f>IFERROR(VLOOKUP('Example "lot" sheet'!$CA28,FeedIngLst,6,FALSE),"-")</f>
        <v>-</v>
      </c>
      <c r="CD28" s="299" t="str">
        <f>IFERROR(VLOOKUP('Example "lot" sheet'!$CA28,FeedIngLst,7,FALSE),"-")</f>
        <v>-</v>
      </c>
      <c r="CE28" s="482">
        <v>6</v>
      </c>
      <c r="CF28" s="299">
        <f>CE28/$CE$35</f>
        <v>0.18181818181818182</v>
      </c>
      <c r="CG28" s="300">
        <f t="shared" ref="CG28:CG35" si="37">CE28*$R$15*$BQ$9/2000</f>
        <v>0</v>
      </c>
      <c r="CH28" s="301" t="str">
        <f>IFERROR('Example "lot" sheet'!$CB28/'Example "lot" sheet'!$CC28/(1-'Example "lot" sheet'!$CD28),"-")</f>
        <v>-</v>
      </c>
      <c r="CI28" s="9"/>
      <c r="DI28" s="9"/>
      <c r="DJ28" s="484"/>
      <c r="DK28" s="485"/>
      <c r="DL28" s="9" t="str">
        <f t="shared" si="0"/>
        <v>-</v>
      </c>
      <c r="DM28" s="485"/>
      <c r="DN28" s="485"/>
      <c r="DO28" s="279" t="str">
        <f t="shared" si="14"/>
        <v/>
      </c>
      <c r="DP28" s="485"/>
      <c r="DQ28" s="278" t="str">
        <f t="shared" si="15"/>
        <v/>
      </c>
      <c r="DR28" s="9"/>
      <c r="DS28" s="9"/>
      <c r="DT28" s="9"/>
      <c r="DU28" s="9"/>
      <c r="DY28" s="183"/>
      <c r="DZ28" s="183"/>
      <c r="EA28" s="183"/>
      <c r="EB28" s="183"/>
    </row>
    <row r="29" spans="9:147" ht="18.95" customHeight="1" x14ac:dyDescent="0.25">
      <c r="AM29" s="259">
        <v>24</v>
      </c>
      <c r="AN29" s="310">
        <f t="shared" si="29"/>
        <v>233</v>
      </c>
      <c r="AO29" s="9">
        <f t="shared" si="16"/>
        <v>1</v>
      </c>
      <c r="AP29" s="289">
        <v>45246</v>
      </c>
      <c r="AQ29" s="9" t="str">
        <f t="shared" si="17"/>
        <v>Steer</v>
      </c>
      <c r="AR29" s="453">
        <f t="shared" ca="1" si="18"/>
        <v>547</v>
      </c>
      <c r="AS29" s="453">
        <f t="shared" ca="1" si="19"/>
        <v>609</v>
      </c>
      <c r="AT29" s="229">
        <f t="shared" si="7"/>
        <v>44</v>
      </c>
      <c r="AU29" s="290">
        <f t="shared" ca="1" si="20"/>
        <v>1.4090909090909092</v>
      </c>
      <c r="AV29" s="453">
        <f t="shared" ca="1" si="21"/>
        <v>666</v>
      </c>
      <c r="AW29" s="290">
        <f t="shared" ca="1" si="22"/>
        <v>1.425</v>
      </c>
      <c r="AX29" s="453">
        <f t="shared" ca="1" si="23"/>
        <v>733</v>
      </c>
      <c r="AY29" s="290">
        <f t="shared" ca="1" si="24"/>
        <v>1.4888888888888889</v>
      </c>
      <c r="AZ29" s="453">
        <f t="shared" ca="1" si="23"/>
        <v>821</v>
      </c>
      <c r="BA29" s="291">
        <f t="shared" ca="1" si="25"/>
        <v>2.6666666666666665</v>
      </c>
      <c r="BB29" s="292">
        <f t="shared" ca="1" si="8"/>
        <v>274</v>
      </c>
      <c r="BC29" s="229">
        <f t="shared" si="26"/>
        <v>164</v>
      </c>
      <c r="BD29" s="293">
        <f t="shared" ca="1" si="27"/>
        <v>1.6707317073170731</v>
      </c>
      <c r="BE29" s="293">
        <f t="shared" si="9"/>
        <v>0</v>
      </c>
      <c r="BF29" s="294">
        <f t="shared" ca="1" si="30"/>
        <v>721.72240885662416</v>
      </c>
      <c r="BG29" s="9"/>
      <c r="BH29" s="9"/>
      <c r="BI29" s="9"/>
      <c r="BJ29" s="9"/>
      <c r="BZ29" s="9"/>
      <c r="CA29" s="476" t="s">
        <v>101</v>
      </c>
      <c r="CB29" s="316">
        <f>IFERROR(VLOOKUP(CA29,Feed!$B$4:$H$19,2,FALSE)*($BR$9/$BQ$9)+VLOOKUP(CA29,Feed!$B$4:$H$19,3,FALSE)*($BS$9/$BQ$9)+VLOOKUP(CA29,Feed!$B$4:$H$19,4,FALSE)*($BT$9/$BQ$9)+VLOOKUP(CA29,Feed!$B$4:$H$19,5,FALSE)*($BU$9/$BQ$9),0)</f>
        <v>0</v>
      </c>
      <c r="CC29" s="299" t="str">
        <f>IFERROR(VLOOKUP('Example "lot" sheet'!$CA29,FeedIngLst,6,FALSE),"-")</f>
        <v>-</v>
      </c>
      <c r="CD29" s="299" t="str">
        <f>IFERROR(VLOOKUP('Example "lot" sheet'!$CA29,FeedIngLst,7,FALSE),"-")</f>
        <v>-</v>
      </c>
      <c r="CE29" s="482">
        <v>15</v>
      </c>
      <c r="CF29" s="299">
        <f t="shared" ref="CF29:CF34" si="38">CE29/$CE$35</f>
        <v>0.45454545454545453</v>
      </c>
      <c r="CG29" s="300">
        <f t="shared" si="37"/>
        <v>0</v>
      </c>
      <c r="CH29" s="301" t="str">
        <f>IFERROR('Example "lot" sheet'!$CB29/'Example "lot" sheet'!$CC29/(1-'Example "lot" sheet'!$CD29),"-")</f>
        <v>-</v>
      </c>
      <c r="CI29" s="9"/>
      <c r="DI29" s="9"/>
      <c r="DJ29" s="486"/>
      <c r="DK29" s="473"/>
      <c r="DL29" s="399" t="str">
        <f t="shared" si="0"/>
        <v>-</v>
      </c>
      <c r="DM29" s="473"/>
      <c r="DN29" s="473"/>
      <c r="DO29" s="400" t="str">
        <f t="shared" si="14"/>
        <v/>
      </c>
      <c r="DP29" s="473"/>
      <c r="DQ29" s="383" t="str">
        <f t="shared" si="15"/>
        <v/>
      </c>
      <c r="DR29" s="9"/>
      <c r="DS29" s="9"/>
      <c r="DT29" s="9"/>
      <c r="DU29" s="9"/>
      <c r="DY29" s="183"/>
      <c r="DZ29" s="183"/>
      <c r="EA29" s="183"/>
      <c r="EB29" s="183"/>
    </row>
    <row r="30" spans="9:147" ht="18.95" customHeight="1" thickBot="1" x14ac:dyDescent="0.3">
      <c r="AM30" s="259">
        <v>25</v>
      </c>
      <c r="AN30" s="310">
        <f t="shared" si="29"/>
        <v>234</v>
      </c>
      <c r="AO30" s="9">
        <f t="shared" si="16"/>
        <v>1</v>
      </c>
      <c r="AP30" s="289">
        <v>45246</v>
      </c>
      <c r="AQ30" s="9" t="str">
        <f t="shared" si="17"/>
        <v>Steer</v>
      </c>
      <c r="AR30" s="453">
        <f t="shared" ca="1" si="18"/>
        <v>526</v>
      </c>
      <c r="AS30" s="453">
        <f t="shared" ca="1" si="19"/>
        <v>599</v>
      </c>
      <c r="AT30" s="229">
        <f t="shared" si="7"/>
        <v>44</v>
      </c>
      <c r="AU30" s="290">
        <f t="shared" ca="1" si="20"/>
        <v>1.6590909090909092</v>
      </c>
      <c r="AV30" s="453">
        <f t="shared" ca="1" si="21"/>
        <v>633</v>
      </c>
      <c r="AW30" s="290">
        <f t="shared" ca="1" si="22"/>
        <v>0.85</v>
      </c>
      <c r="AX30" s="453">
        <f t="shared" ca="1" si="23"/>
        <v>690</v>
      </c>
      <c r="AY30" s="290">
        <f t="shared" ca="1" si="24"/>
        <v>1.2666666666666666</v>
      </c>
      <c r="AZ30" s="453">
        <f t="shared" ca="1" si="23"/>
        <v>757</v>
      </c>
      <c r="BA30" s="291">
        <f t="shared" ca="1" si="25"/>
        <v>2.0303030303030303</v>
      </c>
      <c r="BB30" s="292">
        <f t="shared" ca="1" si="8"/>
        <v>231</v>
      </c>
      <c r="BC30" s="229">
        <f t="shared" si="26"/>
        <v>164</v>
      </c>
      <c r="BD30" s="293">
        <f t="shared" ca="1" si="27"/>
        <v>1.4085365853658536</v>
      </c>
      <c r="BE30" s="293">
        <f t="shared" si="9"/>
        <v>0</v>
      </c>
      <c r="BF30" s="294">
        <f t="shared" ca="1" si="30"/>
        <v>574.94581824328145</v>
      </c>
      <c r="BG30" s="9"/>
      <c r="BH30" s="9"/>
      <c r="BI30" s="9"/>
      <c r="BJ30" s="9"/>
      <c r="BZ30" s="9"/>
      <c r="CA30" s="476" t="s">
        <v>103</v>
      </c>
      <c r="CB30" s="316">
        <f>IFERROR(VLOOKUP(CA30,Feed!$B$4:$H$19,2,FALSE)*($BR$9/$BQ$9)+VLOOKUP(CA30,Feed!$B$4:$H$19,3,FALSE)*($BS$9/$BQ$9)+VLOOKUP(CA30,Feed!$B$4:$H$19,4,FALSE)*($BT$9/$BQ$9)+VLOOKUP(CA30,Feed!$B$4:$H$19,5,FALSE)*($BU$9/$BQ$9),0)</f>
        <v>0</v>
      </c>
      <c r="CC30" s="299" t="str">
        <f>IFERROR(VLOOKUP('Example "lot" sheet'!$CA30,FeedIngLst,6,FALSE),"-")</f>
        <v>-</v>
      </c>
      <c r="CD30" s="299" t="str">
        <f>IFERROR(VLOOKUP('Example "lot" sheet'!$CA30,FeedIngLst,7,FALSE),"-")</f>
        <v>-</v>
      </c>
      <c r="CE30" s="482">
        <v>5</v>
      </c>
      <c r="CF30" s="299">
        <f t="shared" si="38"/>
        <v>0.15151515151515152</v>
      </c>
      <c r="CG30" s="300">
        <f t="shared" si="37"/>
        <v>0</v>
      </c>
      <c r="CH30" s="301" t="str">
        <f>IFERROR('Example "lot" sheet'!$CB30/'Example "lot" sheet'!$CC30/(1-'Example "lot" sheet'!$CD30),"-")</f>
        <v>-</v>
      </c>
      <c r="CI30" s="9"/>
      <c r="DI30" s="9"/>
      <c r="DJ30" s="384"/>
      <c r="DK30" s="385"/>
      <c r="DL30" s="385"/>
      <c r="DM30" s="385"/>
      <c r="DN30" s="385"/>
      <c r="DO30" s="386" t="s">
        <v>236</v>
      </c>
      <c r="DP30" s="370"/>
      <c r="DQ30" s="387">
        <f>SUM(DQ5:DQ29)</f>
        <v>4</v>
      </c>
      <c r="DR30" s="9"/>
      <c r="DS30" s="9"/>
      <c r="DT30" s="9"/>
      <c r="DU30" s="9"/>
      <c r="DY30" s="183"/>
      <c r="DZ30" s="183"/>
      <c r="EA30" s="183"/>
      <c r="EB30" s="183"/>
    </row>
    <row r="31" spans="9:147" ht="18.95" customHeight="1" x14ac:dyDescent="0.25">
      <c r="AM31" s="259">
        <v>26</v>
      </c>
      <c r="AN31" s="310">
        <f t="shared" si="29"/>
        <v>235</v>
      </c>
      <c r="AO31" s="9">
        <f t="shared" si="16"/>
        <v>1</v>
      </c>
      <c r="AP31" s="289">
        <v>45246</v>
      </c>
      <c r="AQ31" s="9" t="str">
        <f t="shared" si="17"/>
        <v>Steer</v>
      </c>
      <c r="AR31" s="453">
        <f t="shared" ca="1" si="18"/>
        <v>555</v>
      </c>
      <c r="AS31" s="453">
        <f t="shared" ca="1" si="19"/>
        <v>637</v>
      </c>
      <c r="AT31" s="229">
        <f t="shared" si="7"/>
        <v>44</v>
      </c>
      <c r="AU31" s="290">
        <f t="shared" ca="1" si="20"/>
        <v>1.8636363636363635</v>
      </c>
      <c r="AV31" s="453">
        <f t="shared" ca="1" si="21"/>
        <v>669</v>
      </c>
      <c r="AW31" s="290">
        <f t="shared" ca="1" si="22"/>
        <v>0.8</v>
      </c>
      <c r="AX31" s="453">
        <f t="shared" ca="1" si="23"/>
        <v>712</v>
      </c>
      <c r="AY31" s="290">
        <f t="shared" ca="1" si="24"/>
        <v>0.9555555555555556</v>
      </c>
      <c r="AZ31" s="453">
        <f t="shared" ca="1" si="23"/>
        <v>765</v>
      </c>
      <c r="BA31" s="291">
        <f t="shared" ca="1" si="25"/>
        <v>1.606060606060606</v>
      </c>
      <c r="BB31" s="292">
        <f t="shared" ca="1" si="8"/>
        <v>210</v>
      </c>
      <c r="BC31" s="229">
        <f t="shared" si="26"/>
        <v>164</v>
      </c>
      <c r="BD31" s="293">
        <f t="shared" ca="1" si="27"/>
        <v>1.2804878048780488</v>
      </c>
      <c r="BE31" s="293">
        <f t="shared" si="9"/>
        <v>0</v>
      </c>
      <c r="BF31" s="294">
        <f t="shared" ca="1" si="30"/>
        <v>593.29289206994952</v>
      </c>
      <c r="BG31" s="9"/>
      <c r="BH31" s="9"/>
      <c r="BI31" s="9"/>
      <c r="BJ31" s="9"/>
      <c r="BZ31" s="9"/>
      <c r="CA31" s="476" t="s">
        <v>217</v>
      </c>
      <c r="CB31" s="316">
        <f>IFERROR(VLOOKUP(CA31,Feed!$B$4:$H$19,2,FALSE)*($BR$9/$BQ$9)+VLOOKUP(CA31,Feed!$B$4:$H$19,3,FALSE)*($BS$9/$BQ$9)+VLOOKUP(CA31,Feed!$B$4:$H$19,4,FALSE)*($BT$9/$BQ$9)+VLOOKUP(CA31,Feed!$B$4:$H$19,5,FALSE)*($BU$9/$BQ$9),0)</f>
        <v>0</v>
      </c>
      <c r="CC31" s="299" t="str">
        <f>IFERROR(VLOOKUP('Example "lot" sheet'!$CA31,FeedIngLst,6,FALSE),"-")</f>
        <v>-</v>
      </c>
      <c r="CD31" s="299" t="str">
        <f>IFERROR(VLOOKUP('Example "lot" sheet'!$CA31,FeedIngLst,7,FALSE),"-")</f>
        <v>-</v>
      </c>
      <c r="CE31" s="482">
        <v>5</v>
      </c>
      <c r="CF31" s="299">
        <f t="shared" si="38"/>
        <v>0.15151515151515152</v>
      </c>
      <c r="CG31" s="300">
        <f t="shared" si="37"/>
        <v>0</v>
      </c>
      <c r="CH31" s="301" t="str">
        <f>IFERROR('Example "lot" sheet'!$CB31/'Example "lot" sheet'!$CC31/(1-'Example "lot" sheet'!$CD31),"-")</f>
        <v>-</v>
      </c>
      <c r="CI31" s="9"/>
      <c r="DI31" s="9"/>
      <c r="DJ31" s="9"/>
      <c r="DK31" s="9"/>
      <c r="DL31" s="9"/>
      <c r="DM31" s="9"/>
      <c r="DN31" s="9"/>
      <c r="DO31" s="9"/>
      <c r="DP31" s="9"/>
      <c r="DQ31" s="9"/>
      <c r="DR31" s="9"/>
      <c r="DS31" s="9"/>
      <c r="DT31" s="9"/>
      <c r="DU31" s="9"/>
    </row>
    <row r="32" spans="9:147" ht="18.95" customHeight="1" x14ac:dyDescent="0.25">
      <c r="AM32" s="259">
        <v>27</v>
      </c>
      <c r="AN32" s="310">
        <f t="shared" si="29"/>
        <v>236</v>
      </c>
      <c r="AO32" s="9">
        <f t="shared" si="16"/>
        <v>2</v>
      </c>
      <c r="AP32" s="289">
        <v>45270</v>
      </c>
      <c r="AQ32" s="9" t="str">
        <f t="shared" si="17"/>
        <v>Steer</v>
      </c>
      <c r="AR32" s="453">
        <f t="shared" ca="1" si="18"/>
        <v>482</v>
      </c>
      <c r="AS32" s="453">
        <f t="shared" ca="1" si="19"/>
        <v>536</v>
      </c>
      <c r="AT32" s="229">
        <f t="shared" si="7"/>
        <v>20</v>
      </c>
      <c r="AU32" s="290">
        <f t="shared" ca="1" si="20"/>
        <v>2.7</v>
      </c>
      <c r="AV32" s="453">
        <f t="shared" ca="1" si="21"/>
        <v>593</v>
      </c>
      <c r="AW32" s="290">
        <f t="shared" ca="1" si="22"/>
        <v>1.425</v>
      </c>
      <c r="AX32" s="453">
        <f t="shared" ca="1" si="23"/>
        <v>648</v>
      </c>
      <c r="AY32" s="290">
        <f t="shared" ca="1" si="24"/>
        <v>1.2222222222222223</v>
      </c>
      <c r="AZ32" s="453">
        <f t="shared" ca="1" si="23"/>
        <v>738</v>
      </c>
      <c r="BA32" s="291">
        <f t="shared" ca="1" si="25"/>
        <v>2.7272727272727271</v>
      </c>
      <c r="BB32" s="292">
        <f t="shared" ca="1" si="8"/>
        <v>256</v>
      </c>
      <c r="BC32" s="229">
        <f t="shared" si="26"/>
        <v>140</v>
      </c>
      <c r="BD32" s="293">
        <f t="shared" ca="1" si="27"/>
        <v>1.8285714285714285</v>
      </c>
      <c r="BE32" s="293">
        <f t="shared" si="9"/>
        <v>0</v>
      </c>
      <c r="BF32" s="294">
        <f t="shared" ca="1" si="30"/>
        <v>453.2934528438962</v>
      </c>
      <c r="BG32" s="9"/>
      <c r="BH32" s="9"/>
      <c r="BI32" s="9"/>
      <c r="BJ32" s="9"/>
      <c r="BZ32" s="9"/>
      <c r="CA32" s="476" t="s">
        <v>215</v>
      </c>
      <c r="CB32" s="316">
        <f>IFERROR(VLOOKUP(CA32,Feed!$B$4:$H$19,2,FALSE)*($BR$9/$BQ$9)+VLOOKUP(CA32,Feed!$B$4:$H$19,3,FALSE)*($BS$9/$BQ$9)+VLOOKUP(CA32,Feed!$B$4:$H$19,4,FALSE)*($BT$9/$BQ$9)+VLOOKUP(CA32,Feed!$B$4:$H$19,5,FALSE)*($BU$9/$BQ$9),0)</f>
        <v>0</v>
      </c>
      <c r="CC32" s="299" t="str">
        <f>IFERROR(VLOOKUP('Example "lot" sheet'!$CA32,FeedIngLst,6,FALSE),"-")</f>
        <v>-</v>
      </c>
      <c r="CD32" s="299" t="str">
        <f>IFERROR(VLOOKUP('Example "lot" sheet'!$CA32,FeedIngLst,7,FALSE),"-")</f>
        <v>-</v>
      </c>
      <c r="CE32" s="482">
        <v>1</v>
      </c>
      <c r="CF32" s="299">
        <f t="shared" si="38"/>
        <v>3.0303030303030304E-2</v>
      </c>
      <c r="CG32" s="300">
        <f t="shared" si="37"/>
        <v>0</v>
      </c>
      <c r="CH32" s="301" t="str">
        <f>IFERROR('Example "lot" sheet'!$CB32/'Example "lot" sheet'!$CC32/(1-'Example "lot" sheet'!$CD32),"-")</f>
        <v>-</v>
      </c>
      <c r="CI32" s="9"/>
    </row>
    <row r="33" spans="39:87" ht="18.95" customHeight="1" x14ac:dyDescent="0.25">
      <c r="AM33" s="259">
        <v>28</v>
      </c>
      <c r="AN33" s="310">
        <f t="shared" si="29"/>
        <v>237</v>
      </c>
      <c r="AO33" s="9">
        <f t="shared" si="16"/>
        <v>2</v>
      </c>
      <c r="AP33" s="289">
        <v>45270</v>
      </c>
      <c r="AQ33" s="9" t="str">
        <f t="shared" si="17"/>
        <v>Steer</v>
      </c>
      <c r="AR33" s="453">
        <f t="shared" ca="1" si="18"/>
        <v>501</v>
      </c>
      <c r="AS33" s="453">
        <f t="shared" ca="1" si="19"/>
        <v>534</v>
      </c>
      <c r="AT33" s="229">
        <f t="shared" si="7"/>
        <v>20</v>
      </c>
      <c r="AU33" s="290">
        <f t="shared" ca="1" si="20"/>
        <v>1.65</v>
      </c>
      <c r="AV33" s="453">
        <f t="shared" ca="1" si="21"/>
        <v>620</v>
      </c>
      <c r="AW33" s="290">
        <f t="shared" ca="1" si="22"/>
        <v>2.15</v>
      </c>
      <c r="AX33" s="453">
        <f t="shared" ca="1" si="23"/>
        <v>669</v>
      </c>
      <c r="AY33" s="290">
        <f t="shared" ca="1" si="24"/>
        <v>1.0888888888888888</v>
      </c>
      <c r="AZ33" s="453">
        <f t="shared" ca="1" si="23"/>
        <v>702</v>
      </c>
      <c r="BA33" s="291">
        <f t="shared" ca="1" si="25"/>
        <v>1</v>
      </c>
      <c r="BB33" s="292">
        <f t="shared" ca="1" si="8"/>
        <v>201</v>
      </c>
      <c r="BC33" s="229">
        <f t="shared" si="26"/>
        <v>140</v>
      </c>
      <c r="BD33" s="293">
        <f t="shared" ca="1" si="27"/>
        <v>1.4357142857142857</v>
      </c>
      <c r="BE33" s="293">
        <f t="shared" si="9"/>
        <v>0</v>
      </c>
      <c r="BF33" s="294">
        <f t="shared" ca="1" si="30"/>
        <v>370.73162062389093</v>
      </c>
      <c r="BG33" s="9"/>
      <c r="BH33" s="9"/>
      <c r="BI33" s="9"/>
      <c r="BJ33" s="9"/>
      <c r="BZ33" s="9"/>
      <c r="CA33" s="476" t="s">
        <v>213</v>
      </c>
      <c r="CB33" s="316">
        <f>IFERROR(VLOOKUP(CA33,Feed!$B$4:$H$19,2,FALSE)*($BR$9/$BQ$9)+VLOOKUP(CA33,Feed!$B$4:$H$19,3,FALSE)*($BS$9/$BQ$9)+VLOOKUP(CA33,Feed!$B$4:$H$19,4,FALSE)*($BT$9/$BQ$9)+VLOOKUP(CA33,Feed!$B$4:$H$19,5,FALSE)*($BU$9/$BQ$9),0)</f>
        <v>0</v>
      </c>
      <c r="CC33" s="299" t="str">
        <f>IFERROR(VLOOKUP('Example "lot" sheet'!$CA33,FeedIngLst,6,FALSE),"-")</f>
        <v>-</v>
      </c>
      <c r="CD33" s="299" t="str">
        <f>IFERROR(VLOOKUP('Example "lot" sheet'!$CA33,FeedIngLst,7,FALSE),"-")</f>
        <v>-</v>
      </c>
      <c r="CE33" s="482">
        <v>1</v>
      </c>
      <c r="CF33" s="299">
        <f t="shared" si="38"/>
        <v>3.0303030303030304E-2</v>
      </c>
      <c r="CG33" s="300">
        <f t="shared" si="37"/>
        <v>0</v>
      </c>
      <c r="CH33" s="301" t="str">
        <f>IFERROR('Example "lot" sheet'!$CB33/'Example "lot" sheet'!$CC33/(1-'Example "lot" sheet'!$CD33),"-")</f>
        <v>-</v>
      </c>
      <c r="CI33" s="9"/>
    </row>
    <row r="34" spans="39:87" ht="18.95" customHeight="1" x14ac:dyDescent="0.25">
      <c r="AM34" s="259">
        <v>29</v>
      </c>
      <c r="AN34" s="310">
        <f t="shared" si="29"/>
        <v>238</v>
      </c>
      <c r="AO34" s="9">
        <f t="shared" si="16"/>
        <v>2</v>
      </c>
      <c r="AP34" s="289">
        <v>45270</v>
      </c>
      <c r="AQ34" s="9" t="str">
        <f t="shared" si="17"/>
        <v>Steer</v>
      </c>
      <c r="AR34" s="453">
        <f t="shared" ca="1" si="18"/>
        <v>471</v>
      </c>
      <c r="AS34" s="453">
        <f t="shared" ca="1" si="19"/>
        <v>519</v>
      </c>
      <c r="AT34" s="229">
        <f t="shared" si="7"/>
        <v>20</v>
      </c>
      <c r="AU34" s="290">
        <f t="shared" ca="1" si="20"/>
        <v>2.4</v>
      </c>
      <c r="AV34" s="453">
        <f t="shared" ca="1" si="21"/>
        <v>602</v>
      </c>
      <c r="AW34" s="290">
        <f t="shared" ca="1" si="22"/>
        <v>2.0750000000000002</v>
      </c>
      <c r="AX34" s="453">
        <f t="shared" ca="1" si="23"/>
        <v>642</v>
      </c>
      <c r="AY34" s="290">
        <f t="shared" ca="1" si="24"/>
        <v>0.88888888888888884</v>
      </c>
      <c r="AZ34" s="453">
        <f t="shared" ca="1" si="23"/>
        <v>727</v>
      </c>
      <c r="BA34" s="291">
        <f t="shared" ca="1" si="25"/>
        <v>2.5757575757575757</v>
      </c>
      <c r="BB34" s="292">
        <f t="shared" ca="1" si="8"/>
        <v>256</v>
      </c>
      <c r="BC34" s="229">
        <f t="shared" si="26"/>
        <v>140</v>
      </c>
      <c r="BD34" s="293">
        <f t="shared" ca="1" si="27"/>
        <v>1.8285714285714285</v>
      </c>
      <c r="BE34" s="293">
        <f t="shared" si="9"/>
        <v>0</v>
      </c>
      <c r="BF34" s="294">
        <f t="shared" ca="1" si="30"/>
        <v>428.0662263322277</v>
      </c>
      <c r="BG34" s="9"/>
      <c r="BH34" s="9"/>
      <c r="BI34" s="9"/>
      <c r="BJ34" s="9"/>
      <c r="BZ34" s="9"/>
      <c r="CA34" s="338" t="s">
        <v>330</v>
      </c>
      <c r="CB34" s="339">
        <f>'AUM Evaluator'!$S$9*$CB$61</f>
        <v>78.359787947924048</v>
      </c>
      <c r="CC34" s="299">
        <v>1</v>
      </c>
      <c r="CD34" s="340">
        <v>0</v>
      </c>
      <c r="CE34" s="483"/>
      <c r="CF34" s="341">
        <f t="shared" si="38"/>
        <v>0</v>
      </c>
      <c r="CG34" s="342">
        <f t="shared" si="37"/>
        <v>0</v>
      </c>
      <c r="CH34" s="343">
        <f>'Example "lot" sheet'!$CB34*$CB$61*'Example "lot" sheet'!$CF34</f>
        <v>0</v>
      </c>
      <c r="CI34" s="9"/>
    </row>
    <row r="35" spans="39:87" ht="18.95" customHeight="1" x14ac:dyDescent="0.25">
      <c r="AM35" s="259">
        <v>30</v>
      </c>
      <c r="AN35" s="310">
        <f t="shared" si="29"/>
        <v>239</v>
      </c>
      <c r="AO35" s="9">
        <f t="shared" si="16"/>
        <v>2</v>
      </c>
      <c r="AP35" s="289">
        <v>45270</v>
      </c>
      <c r="AQ35" s="9" t="str">
        <f t="shared" si="17"/>
        <v>Steer</v>
      </c>
      <c r="AR35" s="453">
        <f t="shared" ca="1" si="18"/>
        <v>544</v>
      </c>
      <c r="AS35" s="453">
        <f t="shared" ca="1" si="19"/>
        <v>617</v>
      </c>
      <c r="AT35" s="229">
        <f t="shared" si="7"/>
        <v>20</v>
      </c>
      <c r="AU35" s="290">
        <f t="shared" ca="1" si="20"/>
        <v>3.65</v>
      </c>
      <c r="AV35" s="453">
        <f t="shared" ca="1" si="21"/>
        <v>702</v>
      </c>
      <c r="AW35" s="290">
        <f t="shared" ca="1" si="22"/>
        <v>2.125</v>
      </c>
      <c r="AX35" s="453">
        <f t="shared" ca="1" si="23"/>
        <v>779</v>
      </c>
      <c r="AY35" s="290">
        <f t="shared" ca="1" si="24"/>
        <v>1.711111111111111</v>
      </c>
      <c r="AZ35" s="453">
        <f t="shared" ca="1" si="23"/>
        <v>861</v>
      </c>
      <c r="BA35" s="291">
        <f t="shared" ca="1" si="25"/>
        <v>2.4848484848484849</v>
      </c>
      <c r="BB35" s="292">
        <f t="shared" ca="1" si="8"/>
        <v>317</v>
      </c>
      <c r="BC35" s="229">
        <f t="shared" si="26"/>
        <v>140</v>
      </c>
      <c r="BD35" s="293">
        <f t="shared" ca="1" si="27"/>
        <v>2.2642857142857142</v>
      </c>
      <c r="BE35" s="293">
        <f t="shared" si="9"/>
        <v>0</v>
      </c>
      <c r="BF35" s="294">
        <f t="shared" ca="1" si="30"/>
        <v>735.3797129289137</v>
      </c>
      <c r="BG35" s="9"/>
      <c r="BH35" s="9"/>
      <c r="BI35" s="9"/>
      <c r="BJ35" s="9"/>
      <c r="BZ35" s="9"/>
      <c r="CA35" s="348"/>
      <c r="CB35" s="349"/>
      <c r="CC35" s="350" t="s">
        <v>58</v>
      </c>
      <c r="CD35" s="351"/>
      <c r="CE35" s="352">
        <f>SUM(CE28:CE34)</f>
        <v>33</v>
      </c>
      <c r="CF35" s="353">
        <f>SUM(CF28:CF34)</f>
        <v>0.99999999999999989</v>
      </c>
      <c r="CG35" s="352">
        <f t="shared" si="37"/>
        <v>0</v>
      </c>
      <c r="CH35" s="354"/>
      <c r="CI35" s="9"/>
    </row>
    <row r="36" spans="39:87" ht="18.95" customHeight="1" thickBot="1" x14ac:dyDescent="0.3">
      <c r="AM36" s="259">
        <v>31</v>
      </c>
      <c r="AN36" s="310">
        <f t="shared" si="29"/>
        <v>240</v>
      </c>
      <c r="AO36" s="9">
        <f t="shared" si="16"/>
        <v>2</v>
      </c>
      <c r="AP36" s="289">
        <v>45270</v>
      </c>
      <c r="AQ36" s="9" t="str">
        <f t="shared" si="17"/>
        <v>Steer</v>
      </c>
      <c r="AR36" s="453">
        <f t="shared" ca="1" si="18"/>
        <v>568</v>
      </c>
      <c r="AS36" s="453">
        <f t="shared" ca="1" si="19"/>
        <v>644</v>
      </c>
      <c r="AT36" s="229">
        <f t="shared" si="7"/>
        <v>20</v>
      </c>
      <c r="AU36" s="290">
        <f t="shared" ca="1" si="20"/>
        <v>3.8</v>
      </c>
      <c r="AV36" s="453">
        <f t="shared" ca="1" si="21"/>
        <v>693</v>
      </c>
      <c r="AW36" s="290">
        <f t="shared" ca="1" si="22"/>
        <v>1.2250000000000001</v>
      </c>
      <c r="AX36" s="453">
        <f t="shared" ca="1" si="23"/>
        <v>752</v>
      </c>
      <c r="AY36" s="290">
        <f t="shared" ca="1" si="24"/>
        <v>1.3111111111111111</v>
      </c>
      <c r="AZ36" s="453">
        <f t="shared" ca="1" si="23"/>
        <v>797</v>
      </c>
      <c r="BA36" s="291">
        <f t="shared" ca="1" si="25"/>
        <v>1.3636363636363635</v>
      </c>
      <c r="BB36" s="292">
        <f t="shared" ca="1" si="8"/>
        <v>229</v>
      </c>
      <c r="BC36" s="229">
        <f t="shared" si="26"/>
        <v>140</v>
      </c>
      <c r="BD36" s="293">
        <f t="shared" ca="1" si="27"/>
        <v>1.6357142857142857</v>
      </c>
      <c r="BE36" s="293">
        <f t="shared" si="9"/>
        <v>0</v>
      </c>
      <c r="BF36" s="294">
        <f t="shared" ca="1" si="30"/>
        <v>588.60312231557145</v>
      </c>
      <c r="BG36" s="9"/>
      <c r="BH36" s="9"/>
      <c r="BI36" s="9"/>
      <c r="BJ36" s="9"/>
      <c r="BZ36" s="9"/>
      <c r="CA36" s="363"/>
      <c r="CB36" s="364"/>
      <c r="CC36" s="365"/>
      <c r="CD36" s="366" t="s">
        <v>208</v>
      </c>
      <c r="CE36" s="366"/>
      <c r="CF36" s="367"/>
      <c r="CG36" s="367"/>
      <c r="CH36" s="368">
        <f>SUMPRODUCT(CF28:CF34,CH28:CH34,CC28:CC34)</f>
        <v>0</v>
      </c>
      <c r="CI36" s="9"/>
    </row>
    <row r="37" spans="39:87" ht="18.95" customHeight="1" thickBot="1" x14ac:dyDescent="0.3">
      <c r="AM37" s="259">
        <v>32</v>
      </c>
      <c r="AN37" s="310">
        <f t="shared" si="29"/>
        <v>241</v>
      </c>
      <c r="AO37" s="9">
        <f t="shared" si="16"/>
        <v>2</v>
      </c>
      <c r="AP37" s="289">
        <v>45270</v>
      </c>
      <c r="AQ37" s="9" t="str">
        <f t="shared" si="17"/>
        <v>Steer</v>
      </c>
      <c r="AR37" s="453">
        <f t="shared" ca="1" si="18"/>
        <v>454</v>
      </c>
      <c r="AS37" s="453">
        <f t="shared" ca="1" si="19"/>
        <v>543</v>
      </c>
      <c r="AT37" s="229">
        <f t="shared" si="7"/>
        <v>20</v>
      </c>
      <c r="AU37" s="290">
        <f t="shared" ca="1" si="20"/>
        <v>4.45</v>
      </c>
      <c r="AV37" s="453">
        <f t="shared" ca="1" si="21"/>
        <v>578</v>
      </c>
      <c r="AW37" s="290">
        <f t="shared" ca="1" si="22"/>
        <v>0.875</v>
      </c>
      <c r="AX37" s="453">
        <f t="shared" ca="1" si="23"/>
        <v>658</v>
      </c>
      <c r="AY37" s="290">
        <f t="shared" ca="1" si="24"/>
        <v>1.7777777777777777</v>
      </c>
      <c r="AZ37" s="453">
        <f t="shared" ca="1" si="23"/>
        <v>698</v>
      </c>
      <c r="BA37" s="291">
        <f t="shared" ca="1" si="25"/>
        <v>1.2121212121212122</v>
      </c>
      <c r="BB37" s="292">
        <f t="shared" ca="1" si="8"/>
        <v>244</v>
      </c>
      <c r="BC37" s="229">
        <f t="shared" si="26"/>
        <v>140</v>
      </c>
      <c r="BD37" s="293">
        <f t="shared" ca="1" si="27"/>
        <v>1.7428571428571429</v>
      </c>
      <c r="BE37" s="293">
        <f t="shared" si="9"/>
        <v>0</v>
      </c>
      <c r="BF37" s="294">
        <f t="shared" ca="1" si="30"/>
        <v>361.55808371055679</v>
      </c>
      <c r="BG37" s="9"/>
      <c r="BH37" s="9"/>
      <c r="BI37" s="9"/>
      <c r="BJ37" s="9"/>
      <c r="BZ37" s="9"/>
      <c r="CA37" s="9"/>
      <c r="CB37" s="9"/>
      <c r="CC37" s="9"/>
      <c r="CD37" s="9"/>
      <c r="CE37" s="9"/>
      <c r="CF37" s="9"/>
      <c r="CG37" s="9"/>
      <c r="CH37" s="9"/>
      <c r="CI37" s="9"/>
    </row>
    <row r="38" spans="39:87" ht="31.5" customHeight="1" x14ac:dyDescent="0.25">
      <c r="AM38" s="259">
        <v>33</v>
      </c>
      <c r="AN38" s="310">
        <f t="shared" si="29"/>
        <v>242</v>
      </c>
      <c r="AO38" s="9">
        <f t="shared" si="16"/>
        <v>2</v>
      </c>
      <c r="AP38" s="289">
        <v>45270</v>
      </c>
      <c r="AQ38" s="9" t="str">
        <f t="shared" si="17"/>
        <v>Steer</v>
      </c>
      <c r="AR38" s="453">
        <f t="shared" ca="1" si="18"/>
        <v>557</v>
      </c>
      <c r="AS38" s="453">
        <f t="shared" ca="1" si="19"/>
        <v>611</v>
      </c>
      <c r="AT38" s="229">
        <f t="shared" ref="AT38:AT55" si="39">$AS$2-AP38</f>
        <v>20</v>
      </c>
      <c r="AU38" s="290">
        <f t="shared" ca="1" si="20"/>
        <v>2.7</v>
      </c>
      <c r="AV38" s="453">
        <f t="shared" ca="1" si="21"/>
        <v>691</v>
      </c>
      <c r="AW38" s="290">
        <f t="shared" ca="1" si="22"/>
        <v>2</v>
      </c>
      <c r="AX38" s="453">
        <f t="shared" ca="1" si="23"/>
        <v>728</v>
      </c>
      <c r="AY38" s="290">
        <f t="shared" ca="1" si="24"/>
        <v>0.82222222222222219</v>
      </c>
      <c r="AZ38" s="453">
        <f t="shared" ca="1" si="23"/>
        <v>799</v>
      </c>
      <c r="BA38" s="291">
        <f t="shared" ca="1" si="25"/>
        <v>2.1515151515151514</v>
      </c>
      <c r="BB38" s="292">
        <f t="shared" ca="1" si="8"/>
        <v>242</v>
      </c>
      <c r="BC38" s="229">
        <f t="shared" si="26"/>
        <v>140</v>
      </c>
      <c r="BD38" s="293">
        <f t="shared" ca="1" si="27"/>
        <v>1.7285714285714286</v>
      </c>
      <c r="BE38" s="293">
        <f t="shared" ref="BE38:BE55" si="40">SUMIF($DJ$5:$DJ$30,AN38,$DQ$5:$DQ$30)</f>
        <v>0</v>
      </c>
      <c r="BF38" s="294">
        <f t="shared" ca="1" si="30"/>
        <v>593.18989077223819</v>
      </c>
      <c r="BG38" s="9"/>
      <c r="BH38" s="9"/>
      <c r="BI38" s="9"/>
      <c r="BJ38" s="9"/>
      <c r="BZ38" s="9"/>
      <c r="CA38" s="273" t="str">
        <f>IF('Example "lot" sheet'!BN10=BN17,"-",'Example "lot" sheet'!BN10)</f>
        <v>Finisher</v>
      </c>
      <c r="CB38" s="54" t="s">
        <v>328</v>
      </c>
      <c r="CC38" s="54" t="s">
        <v>205</v>
      </c>
      <c r="CD38" s="54" t="s">
        <v>95</v>
      </c>
      <c r="CE38" s="54" t="s">
        <v>326</v>
      </c>
      <c r="CF38" s="54" t="s">
        <v>206</v>
      </c>
      <c r="CG38" s="54" t="s">
        <v>234</v>
      </c>
      <c r="CH38" s="274" t="s">
        <v>209</v>
      </c>
      <c r="CI38" s="9"/>
    </row>
    <row r="39" spans="39:87" ht="18.95" customHeight="1" x14ac:dyDescent="0.25">
      <c r="AM39" s="259">
        <v>34</v>
      </c>
      <c r="AN39" s="310">
        <f t="shared" si="29"/>
        <v>243</v>
      </c>
      <c r="AO39" s="9">
        <f t="shared" ref="AO39:AO55" si="41">IF(AM39&lt;=$O$5,$P$5,IF(AM39&lt;=$O$6,$P$6,IF(AM39&lt;=$O$7,$P$7,IF(AM39&lt;=$O$8,$P$8,IF(AM39&lt;=$O$9,$P$9,IF(AM39&lt;=$O$10,$P$10,IF(AM39&lt;=$O$11,$P$11,IF(AM39&lt;=$O$12,$P$12,IF(AM39&lt;=$O47,$P47,IF(AM39&lt;=$O$14,$P$14,"-"))))))))))</f>
        <v>2</v>
      </c>
      <c r="AP39" s="289">
        <v>45270</v>
      </c>
      <c r="AQ39" s="9" t="str">
        <f t="shared" si="17"/>
        <v>Steer</v>
      </c>
      <c r="AR39" s="453">
        <f t="shared" ca="1" si="18"/>
        <v>519</v>
      </c>
      <c r="AS39" s="453">
        <f t="shared" ca="1" si="19"/>
        <v>580</v>
      </c>
      <c r="AT39" s="229">
        <f t="shared" si="39"/>
        <v>20</v>
      </c>
      <c r="AU39" s="290">
        <f t="shared" ca="1" si="20"/>
        <v>3.05</v>
      </c>
      <c r="AV39" s="453">
        <f t="shared" ca="1" si="21"/>
        <v>654</v>
      </c>
      <c r="AW39" s="290">
        <f t="shared" ca="1" si="22"/>
        <v>1.85</v>
      </c>
      <c r="AX39" s="453">
        <f t="shared" ca="1" si="23"/>
        <v>742</v>
      </c>
      <c r="AY39" s="290">
        <f t="shared" ca="1" si="24"/>
        <v>1.9555555555555555</v>
      </c>
      <c r="AZ39" s="453">
        <f t="shared" ca="1" si="23"/>
        <v>776</v>
      </c>
      <c r="BA39" s="291">
        <f t="shared" ca="1" si="25"/>
        <v>1.0303030303030303</v>
      </c>
      <c r="BB39" s="292">
        <f t="shared" ca="1" si="8"/>
        <v>257</v>
      </c>
      <c r="BC39" s="229">
        <f t="shared" si="26"/>
        <v>140</v>
      </c>
      <c r="BD39" s="293">
        <f t="shared" ca="1" si="27"/>
        <v>1.8357142857142856</v>
      </c>
      <c r="BE39" s="293">
        <f t="shared" si="40"/>
        <v>0</v>
      </c>
      <c r="BF39" s="294">
        <f t="shared" ca="1" si="30"/>
        <v>540.44205352056815</v>
      </c>
      <c r="BG39" s="9"/>
      <c r="BH39" s="9"/>
      <c r="BI39" s="9"/>
      <c r="BJ39" s="9"/>
      <c r="BZ39" s="9"/>
      <c r="CA39" s="476"/>
      <c r="CB39" s="298">
        <f>IFERROR(VLOOKUP(CA39,Feed!$B$4:$H$19,2,FALSE)*($BR$10/$BQ$10)+VLOOKUP(CA39,Feed!$B$4:$H$19,3,FALSE)*($BS$10/$BQ$10)+VLOOKUP(CA39,Feed!$B$4:$H$19,4,FALSE)*($BT$10/$BQ$10)+VLOOKUP(CA39,Feed!$B$4:$H$19,5,FALSE)*($BU$10/$BQ$10),0)</f>
        <v>0</v>
      </c>
      <c r="CC39" s="299" t="str">
        <f>IFERROR(VLOOKUP('Example "lot" sheet'!$CA39,FeedIngLst,6,FALSE),"-")</f>
        <v>-</v>
      </c>
      <c r="CD39" s="299" t="str">
        <f>IFERROR(VLOOKUP('Example "lot" sheet'!$CA39,FeedIngLst,7,FALSE),"-")</f>
        <v>-</v>
      </c>
      <c r="CE39" s="482"/>
      <c r="CF39" s="299">
        <f>CE39/$CE$35</f>
        <v>0</v>
      </c>
      <c r="CG39" s="300">
        <f t="shared" ref="CG39:CG46" si="42">CE39*$R$15*$BQ$10/2000</f>
        <v>0</v>
      </c>
      <c r="CH39" s="301" t="str">
        <f>IFERROR('Example "lot" sheet'!$CB39/'Example "lot" sheet'!$CC39/(1-'Example "lot" sheet'!$CD39),"-")</f>
        <v>-</v>
      </c>
      <c r="CI39" s="9"/>
    </row>
    <row r="40" spans="39:87" ht="18.95" customHeight="1" x14ac:dyDescent="0.25">
      <c r="AM40" s="259">
        <v>35</v>
      </c>
      <c r="AN40" s="310">
        <f>IFERROR(IF(AO40=AO39,AN39+1,VLOOKUP(AO40,$P$5:$U$14,5,FALSE)),"-")</f>
        <v>251</v>
      </c>
      <c r="AO40" s="9">
        <f t="shared" si="41"/>
        <v>3</v>
      </c>
      <c r="AP40" s="289">
        <v>45270</v>
      </c>
      <c r="AQ40" s="9" t="str">
        <f t="shared" si="17"/>
        <v>Heifer</v>
      </c>
      <c r="AR40" s="453">
        <f t="shared" ca="1" si="18"/>
        <v>459</v>
      </c>
      <c r="AS40" s="453">
        <f t="shared" ca="1" si="19"/>
        <v>505</v>
      </c>
      <c r="AT40" s="229">
        <f t="shared" si="39"/>
        <v>20</v>
      </c>
      <c r="AU40" s="290">
        <f t="shared" ca="1" si="20"/>
        <v>2.2999999999999998</v>
      </c>
      <c r="AV40" s="453">
        <f t="shared" ca="1" si="21"/>
        <v>537</v>
      </c>
      <c r="AW40" s="290">
        <f t="shared" ca="1" si="22"/>
        <v>0.8</v>
      </c>
      <c r="AX40" s="453">
        <f t="shared" ca="1" si="23"/>
        <v>586</v>
      </c>
      <c r="AY40" s="290">
        <f t="shared" ca="1" si="24"/>
        <v>1.0888888888888888</v>
      </c>
      <c r="AZ40" s="453">
        <f t="shared" ca="1" si="23"/>
        <v>648</v>
      </c>
      <c r="BA40" s="291">
        <f t="shared" ca="1" si="25"/>
        <v>1.8787878787878789</v>
      </c>
      <c r="BB40" s="292">
        <f t="shared" ca="1" si="8"/>
        <v>189</v>
      </c>
      <c r="BC40" s="229">
        <f t="shared" si="26"/>
        <v>140</v>
      </c>
      <c r="BD40" s="293">
        <f t="shared" ca="1" si="27"/>
        <v>1.35</v>
      </c>
      <c r="BE40" s="293">
        <f t="shared" si="40"/>
        <v>0</v>
      </c>
      <c r="BF40" s="294">
        <f t="shared" ca="1" si="30"/>
        <v>341.67887229388322</v>
      </c>
      <c r="BG40" s="9"/>
      <c r="BH40" s="9"/>
      <c r="BI40" s="9"/>
      <c r="BJ40" s="9"/>
      <c r="BZ40" s="9"/>
      <c r="CA40" s="476"/>
      <c r="CB40" s="316">
        <f>IFERROR(VLOOKUP(CA40,Feed!$B$4:$H$19,2,FALSE)*($BR$10/$BQ$10)+VLOOKUP(CA40,Feed!$B$4:$H$19,3,FALSE)*($BS$10/$BQ$10)+VLOOKUP(CA40,Feed!$B$4:$H$19,4,FALSE)*($BT$10/$BQ$10)+VLOOKUP(CA40,Feed!$B$4:$H$19,5,FALSE)*($BU$10/$BQ$10),0)</f>
        <v>0</v>
      </c>
      <c r="CC40" s="299" t="str">
        <f>IFERROR(VLOOKUP('Example "lot" sheet'!$CA40,FeedIngLst,6,FALSE),"-")</f>
        <v>-</v>
      </c>
      <c r="CD40" s="299" t="str">
        <f>IFERROR(VLOOKUP('Example "lot" sheet'!$CA40,FeedIngLst,7,FALSE),"-")</f>
        <v>-</v>
      </c>
      <c r="CE40" s="482"/>
      <c r="CF40" s="299">
        <f t="shared" ref="CF40:CF45" si="43">CE40/$CE$35</f>
        <v>0</v>
      </c>
      <c r="CG40" s="300">
        <f t="shared" si="42"/>
        <v>0</v>
      </c>
      <c r="CH40" s="301" t="str">
        <f>IFERROR('Example "lot" sheet'!$CB40/'Example "lot" sheet'!$CC40/(1-'Example "lot" sheet'!$CD40),"-")</f>
        <v>-</v>
      </c>
      <c r="CI40" s="9"/>
    </row>
    <row r="41" spans="39:87" ht="18.95" customHeight="1" x14ac:dyDescent="0.25">
      <c r="AM41" s="259">
        <v>36</v>
      </c>
      <c r="AN41" s="310">
        <f t="shared" ref="AN41:AN55" si="44">IFERROR(IF(AO41=AO40,AN40+1,VLOOKUP(AO41,$P$5:$U$14,5,FALSE)),"-")</f>
        <v>252</v>
      </c>
      <c r="AO41" s="9">
        <f t="shared" si="41"/>
        <v>3</v>
      </c>
      <c r="AP41" s="289">
        <v>45279</v>
      </c>
      <c r="AQ41" s="9" t="str">
        <f t="shared" si="17"/>
        <v>Heifer</v>
      </c>
      <c r="AR41" s="453">
        <f t="shared" ca="1" si="18"/>
        <v>485</v>
      </c>
      <c r="AS41" s="453">
        <f t="shared" ca="1" si="19"/>
        <v>567</v>
      </c>
      <c r="AT41" s="229">
        <f t="shared" si="39"/>
        <v>11</v>
      </c>
      <c r="AU41" s="290">
        <f t="shared" ca="1" si="20"/>
        <v>7.4545454545454541</v>
      </c>
      <c r="AV41" s="453">
        <f t="shared" ca="1" si="21"/>
        <v>655</v>
      </c>
      <c r="AW41" s="290">
        <f t="shared" ca="1" si="22"/>
        <v>2.2000000000000002</v>
      </c>
      <c r="AX41" s="453">
        <f t="shared" ca="1" si="23"/>
        <v>692</v>
      </c>
      <c r="AY41" s="290">
        <f t="shared" ca="1" si="24"/>
        <v>0.82222222222222219</v>
      </c>
      <c r="AZ41" s="453">
        <f t="shared" ca="1" si="23"/>
        <v>753</v>
      </c>
      <c r="BA41" s="291">
        <f t="shared" ca="1" si="25"/>
        <v>1.8484848484848484</v>
      </c>
      <c r="BB41" s="292">
        <f t="shared" ca="1" si="8"/>
        <v>268</v>
      </c>
      <c r="BC41" s="229">
        <f t="shared" si="26"/>
        <v>131</v>
      </c>
      <c r="BD41" s="293">
        <f t="shared" ca="1" si="27"/>
        <v>2.0458015267175571</v>
      </c>
      <c r="BE41" s="293">
        <f t="shared" si="40"/>
        <v>0</v>
      </c>
      <c r="BF41" s="294">
        <f t="shared" ca="1" si="30"/>
        <v>587.97898033315505</v>
      </c>
      <c r="BG41" s="9"/>
      <c r="BH41" s="9"/>
      <c r="BI41" s="9"/>
      <c r="BJ41" s="9"/>
      <c r="BZ41" s="9"/>
      <c r="CA41" s="476"/>
      <c r="CB41" s="316">
        <f>IFERROR(VLOOKUP(CA41,Feed!$B$4:$H$19,2,FALSE)*($BR$10/$BQ$10)+VLOOKUP(CA41,Feed!$B$4:$H$19,3,FALSE)*($BS$10/$BQ$10)+VLOOKUP(CA41,Feed!$B$4:$H$19,4,FALSE)*($BT$10/$BQ$10)+VLOOKUP(CA41,Feed!$B$4:$H$19,5,FALSE)*($BU$10/$BQ$10),0)</f>
        <v>0</v>
      </c>
      <c r="CC41" s="299" t="str">
        <f>IFERROR(VLOOKUP('Example "lot" sheet'!$CA41,FeedIngLst,6,FALSE),"-")</f>
        <v>-</v>
      </c>
      <c r="CD41" s="299" t="str">
        <f>IFERROR(VLOOKUP('Example "lot" sheet'!$CA41,FeedIngLst,7,FALSE),"-")</f>
        <v>-</v>
      </c>
      <c r="CE41" s="482"/>
      <c r="CF41" s="299">
        <f t="shared" si="43"/>
        <v>0</v>
      </c>
      <c r="CG41" s="300">
        <f t="shared" si="42"/>
        <v>0</v>
      </c>
      <c r="CH41" s="301" t="str">
        <f>IFERROR('Example "lot" sheet'!$CB41/'Example "lot" sheet'!$CC41/(1-'Example "lot" sheet'!$CD41),"-")</f>
        <v>-</v>
      </c>
      <c r="CI41" s="9"/>
    </row>
    <row r="42" spans="39:87" ht="18.95" customHeight="1" x14ac:dyDescent="0.25">
      <c r="AM42" s="259">
        <v>37</v>
      </c>
      <c r="AN42" s="310">
        <f t="shared" si="44"/>
        <v>253</v>
      </c>
      <c r="AO42" s="9">
        <f t="shared" si="41"/>
        <v>3</v>
      </c>
      <c r="AP42" s="289">
        <v>45279</v>
      </c>
      <c r="AQ42" s="9" t="str">
        <f t="shared" si="17"/>
        <v>Heifer</v>
      </c>
      <c r="AR42" s="453">
        <f t="shared" ca="1" si="18"/>
        <v>554</v>
      </c>
      <c r="AS42" s="453">
        <f t="shared" ca="1" si="19"/>
        <v>623</v>
      </c>
      <c r="AT42" s="229">
        <f t="shared" si="39"/>
        <v>11</v>
      </c>
      <c r="AU42" s="290">
        <f t="shared" ca="1" si="20"/>
        <v>6.2727272727272725</v>
      </c>
      <c r="AV42" s="453">
        <f t="shared" ca="1" si="21"/>
        <v>663</v>
      </c>
      <c r="AW42" s="290">
        <f t="shared" ca="1" si="22"/>
        <v>1</v>
      </c>
      <c r="AX42" s="453">
        <f t="shared" ca="1" si="23"/>
        <v>699</v>
      </c>
      <c r="AY42" s="290">
        <f t="shared" ca="1" si="24"/>
        <v>0.8</v>
      </c>
      <c r="AZ42" s="453">
        <f t="shared" ca="1" si="23"/>
        <v>746</v>
      </c>
      <c r="BA42" s="291">
        <f t="shared" ca="1" si="25"/>
        <v>1.4242424242424243</v>
      </c>
      <c r="BB42" s="292">
        <f t="shared" ca="1" si="8"/>
        <v>192</v>
      </c>
      <c r="BC42" s="229">
        <f t="shared" si="26"/>
        <v>131</v>
      </c>
      <c r="BD42" s="293">
        <f t="shared" ca="1" si="27"/>
        <v>1.4656488549618321</v>
      </c>
      <c r="BE42" s="293">
        <f t="shared" si="40"/>
        <v>0</v>
      </c>
      <c r="BF42" s="294">
        <f t="shared" ca="1" si="30"/>
        <v>571.92529073482069</v>
      </c>
      <c r="BG42" s="9"/>
      <c r="BH42" s="9"/>
      <c r="BI42" s="9"/>
      <c r="BJ42" s="9"/>
      <c r="BZ42" s="9"/>
      <c r="CA42" s="476"/>
      <c r="CB42" s="316">
        <f>IFERROR(VLOOKUP(CA42,Feed!$B$4:$H$19,2,FALSE)*($BR$10/$BQ$10)+VLOOKUP(CA42,Feed!$B$4:$H$19,3,FALSE)*($BS$10/$BQ$10)+VLOOKUP(CA42,Feed!$B$4:$H$19,4,FALSE)*($BT$10/$BQ$10)+VLOOKUP(CA42,Feed!$B$4:$H$19,5,FALSE)*($BU$10/$BQ$10),0)</f>
        <v>0</v>
      </c>
      <c r="CC42" s="299" t="str">
        <f>IFERROR(VLOOKUP('Example "lot" sheet'!$CA42,FeedIngLst,6,FALSE),"-")</f>
        <v>-</v>
      </c>
      <c r="CD42" s="299" t="str">
        <f>IFERROR(VLOOKUP('Example "lot" sheet'!$CA42,FeedIngLst,7,FALSE),"-")</f>
        <v>-</v>
      </c>
      <c r="CE42" s="482"/>
      <c r="CF42" s="299">
        <f t="shared" si="43"/>
        <v>0</v>
      </c>
      <c r="CG42" s="300">
        <f t="shared" si="42"/>
        <v>0</v>
      </c>
      <c r="CH42" s="301" t="str">
        <f>IFERROR('Example "lot" sheet'!$CB42/'Example "lot" sheet'!$CC42/(1-'Example "lot" sheet'!$CD42),"-")</f>
        <v>-</v>
      </c>
      <c r="CI42" s="9"/>
    </row>
    <row r="43" spans="39:87" ht="18.95" customHeight="1" x14ac:dyDescent="0.25">
      <c r="AM43" s="259">
        <v>38</v>
      </c>
      <c r="AN43" s="310">
        <f t="shared" si="44"/>
        <v>254</v>
      </c>
      <c r="AO43" s="9">
        <f t="shared" si="41"/>
        <v>3</v>
      </c>
      <c r="AP43" s="289">
        <v>45279</v>
      </c>
      <c r="AQ43" s="9" t="str">
        <f t="shared" si="17"/>
        <v>Heifer</v>
      </c>
      <c r="AR43" s="453">
        <f t="shared" ca="1" si="18"/>
        <v>562</v>
      </c>
      <c r="AS43" s="453">
        <f t="shared" ca="1" si="19"/>
        <v>595</v>
      </c>
      <c r="AT43" s="229">
        <f t="shared" si="39"/>
        <v>11</v>
      </c>
      <c r="AU43" s="290">
        <f t="shared" ca="1" si="20"/>
        <v>3</v>
      </c>
      <c r="AV43" s="453">
        <f t="shared" ca="1" si="21"/>
        <v>658</v>
      </c>
      <c r="AW43" s="290">
        <f t="shared" ca="1" si="22"/>
        <v>1.575</v>
      </c>
      <c r="AX43" s="453">
        <f t="shared" ca="1" si="23"/>
        <v>732</v>
      </c>
      <c r="AY43" s="290">
        <f t="shared" ca="1" si="24"/>
        <v>1.6444444444444444</v>
      </c>
      <c r="AZ43" s="453">
        <f t="shared" ca="1" si="23"/>
        <v>810</v>
      </c>
      <c r="BA43" s="291">
        <f t="shared" ca="1" si="25"/>
        <v>2.3636363636363638</v>
      </c>
      <c r="BB43" s="292">
        <f t="shared" ca="1" si="8"/>
        <v>248</v>
      </c>
      <c r="BC43" s="229">
        <f t="shared" si="26"/>
        <v>131</v>
      </c>
      <c r="BD43" s="293">
        <f t="shared" ca="1" si="27"/>
        <v>1.8931297709923665</v>
      </c>
      <c r="BE43" s="293">
        <f t="shared" si="40"/>
        <v>0</v>
      </c>
      <c r="BF43" s="294">
        <f t="shared" ca="1" si="30"/>
        <v>718.70188134816317</v>
      </c>
      <c r="BG43" s="9"/>
      <c r="BH43" s="9"/>
      <c r="BI43" s="9"/>
      <c r="BJ43" s="9"/>
      <c r="BZ43" s="9"/>
      <c r="CA43" s="476"/>
      <c r="CB43" s="316">
        <f>IFERROR(VLOOKUP(CA43,Feed!$B$4:$H$19,2,FALSE)*($BR$10/$BQ$10)+VLOOKUP(CA43,Feed!$B$4:$H$19,3,FALSE)*($BS$10/$BQ$10)+VLOOKUP(CA43,Feed!$B$4:$H$19,4,FALSE)*($BT$10/$BQ$10)+VLOOKUP(CA43,Feed!$B$4:$H$19,5,FALSE)*($BU$10/$BQ$10),0)</f>
        <v>0</v>
      </c>
      <c r="CC43" s="299" t="str">
        <f>IFERROR(VLOOKUP('Example "lot" sheet'!$CA43,FeedIngLst,6,FALSE),"-")</f>
        <v>-</v>
      </c>
      <c r="CD43" s="299" t="str">
        <f>IFERROR(VLOOKUP('Example "lot" sheet'!$CA43,FeedIngLst,7,FALSE),"-")</f>
        <v>-</v>
      </c>
      <c r="CE43" s="482"/>
      <c r="CF43" s="299">
        <f t="shared" si="43"/>
        <v>0</v>
      </c>
      <c r="CG43" s="300">
        <f t="shared" si="42"/>
        <v>0</v>
      </c>
      <c r="CH43" s="301" t="str">
        <f>IFERROR('Example "lot" sheet'!$CB43/'Example "lot" sheet'!$CC43/(1-'Example "lot" sheet'!$CD43),"-")</f>
        <v>-</v>
      </c>
      <c r="CI43" s="9"/>
    </row>
    <row r="44" spans="39:87" ht="18.95" customHeight="1" x14ac:dyDescent="0.25">
      <c r="AM44" s="259">
        <v>39</v>
      </c>
      <c r="AN44" s="310">
        <f t="shared" si="44"/>
        <v>255</v>
      </c>
      <c r="AO44" s="9">
        <f t="shared" si="41"/>
        <v>3</v>
      </c>
      <c r="AP44" s="289">
        <v>45279</v>
      </c>
      <c r="AQ44" s="9" t="str">
        <f t="shared" si="17"/>
        <v>Heifer</v>
      </c>
      <c r="AR44" s="453">
        <f t="shared" ca="1" si="18"/>
        <v>488</v>
      </c>
      <c r="AS44" s="453">
        <f t="shared" ca="1" si="19"/>
        <v>527</v>
      </c>
      <c r="AT44" s="229">
        <f t="shared" si="39"/>
        <v>11</v>
      </c>
      <c r="AU44" s="290">
        <f t="shared" ca="1" si="20"/>
        <v>3.5454545454545454</v>
      </c>
      <c r="AV44" s="453">
        <f t="shared" ca="1" si="21"/>
        <v>587</v>
      </c>
      <c r="AW44" s="290">
        <f t="shared" ca="1" si="22"/>
        <v>1.5</v>
      </c>
      <c r="AX44" s="453">
        <f t="shared" ca="1" si="23"/>
        <v>637</v>
      </c>
      <c r="AY44" s="290">
        <f t="shared" ca="1" si="24"/>
        <v>1.1111111111111112</v>
      </c>
      <c r="AZ44" s="453">
        <f t="shared" ca="1" si="23"/>
        <v>675</v>
      </c>
      <c r="BA44" s="291">
        <f t="shared" ca="1" si="25"/>
        <v>1.1515151515151516</v>
      </c>
      <c r="BB44" s="292">
        <f t="shared" ca="1" si="8"/>
        <v>187</v>
      </c>
      <c r="BC44" s="229">
        <f t="shared" si="26"/>
        <v>131</v>
      </c>
      <c r="BD44" s="293">
        <f t="shared" ca="1" si="27"/>
        <v>1.4274809160305344</v>
      </c>
      <c r="BE44" s="293">
        <f t="shared" si="40"/>
        <v>0</v>
      </c>
      <c r="BF44" s="294">
        <f t="shared" ca="1" si="30"/>
        <v>409.09501052314357</v>
      </c>
      <c r="BG44" s="9"/>
      <c r="BH44" s="9"/>
      <c r="BI44" s="9"/>
      <c r="BJ44" s="9"/>
      <c r="BZ44" s="9"/>
      <c r="CA44" s="476"/>
      <c r="CB44" s="316">
        <f>IFERROR(VLOOKUP(CA44,Feed!$B$4:$H$19,2,FALSE)*($BR$10/$BQ$10)+VLOOKUP(CA44,Feed!$B$4:$H$19,3,FALSE)*($BS$10/$BQ$10)+VLOOKUP(CA44,Feed!$B$4:$H$19,4,FALSE)*($BT$10/$BQ$10)+VLOOKUP(CA44,Feed!$B$4:$H$19,5,FALSE)*($BU$10/$BQ$10),0)</f>
        <v>0</v>
      </c>
      <c r="CC44" s="299" t="str">
        <f>IFERROR(VLOOKUP('Example "lot" sheet'!$CA44,FeedIngLst,6,FALSE),"-")</f>
        <v>-</v>
      </c>
      <c r="CD44" s="299" t="str">
        <f>IFERROR(VLOOKUP('Example "lot" sheet'!$CA44,FeedIngLst,7,FALSE),"-")</f>
        <v>-</v>
      </c>
      <c r="CE44" s="482"/>
      <c r="CF44" s="299">
        <f t="shared" si="43"/>
        <v>0</v>
      </c>
      <c r="CG44" s="300">
        <f t="shared" si="42"/>
        <v>0</v>
      </c>
      <c r="CH44" s="301" t="str">
        <f>IFERROR('Example "lot" sheet'!$CB44/'Example "lot" sheet'!$CC44/(1-'Example "lot" sheet'!$CD44),"-")</f>
        <v>-</v>
      </c>
      <c r="CI44" s="9"/>
    </row>
    <row r="45" spans="39:87" ht="18.95" customHeight="1" x14ac:dyDescent="0.25">
      <c r="AM45" s="259">
        <v>40</v>
      </c>
      <c r="AN45" s="310">
        <f t="shared" si="44"/>
        <v>256</v>
      </c>
      <c r="AO45" s="9">
        <f t="shared" si="41"/>
        <v>3</v>
      </c>
      <c r="AP45" s="289">
        <v>45279</v>
      </c>
      <c r="AQ45" s="9" t="str">
        <f t="shared" si="17"/>
        <v>Heifer</v>
      </c>
      <c r="AR45" s="453">
        <f t="shared" ca="1" si="18"/>
        <v>515</v>
      </c>
      <c r="AS45" s="453">
        <f t="shared" ca="1" si="19"/>
        <v>603</v>
      </c>
      <c r="AT45" s="229">
        <f t="shared" si="39"/>
        <v>11</v>
      </c>
      <c r="AU45" s="290">
        <f t="shared" ca="1" si="20"/>
        <v>8</v>
      </c>
      <c r="AV45" s="453">
        <f t="shared" ca="1" si="21"/>
        <v>665</v>
      </c>
      <c r="AW45" s="290">
        <f t="shared" ca="1" si="22"/>
        <v>1.55</v>
      </c>
      <c r="AX45" s="453">
        <f t="shared" ca="1" si="23"/>
        <v>713</v>
      </c>
      <c r="AY45" s="290">
        <f t="shared" ca="1" si="24"/>
        <v>1.0666666666666667</v>
      </c>
      <c r="AZ45" s="453">
        <f t="shared" ca="1" si="23"/>
        <v>750</v>
      </c>
      <c r="BA45" s="291">
        <f t="shared" ca="1" si="25"/>
        <v>1.1212121212121211</v>
      </c>
      <c r="BB45" s="292">
        <f t="shared" ca="1" si="8"/>
        <v>235</v>
      </c>
      <c r="BC45" s="229">
        <f t="shared" si="26"/>
        <v>131</v>
      </c>
      <c r="BD45" s="293">
        <f t="shared" ca="1" si="27"/>
        <v>1.7938931297709924</v>
      </c>
      <c r="BE45" s="293">
        <f t="shared" si="40"/>
        <v>0</v>
      </c>
      <c r="BF45" s="294">
        <f t="shared" ca="1" si="30"/>
        <v>581.09882764815438</v>
      </c>
      <c r="BG45" s="9"/>
      <c r="BH45" s="9"/>
      <c r="BI45" s="9"/>
      <c r="BJ45" s="9"/>
      <c r="BZ45" s="9"/>
      <c r="CA45" s="338" t="s">
        <v>330</v>
      </c>
      <c r="CB45" s="339">
        <f>'AUM Evaluator'!$S$9*$CB$61</f>
        <v>78.359787947924048</v>
      </c>
      <c r="CC45" s="299">
        <v>1</v>
      </c>
      <c r="CD45" s="340">
        <v>0</v>
      </c>
      <c r="CE45" s="483"/>
      <c r="CF45" s="341">
        <f t="shared" si="43"/>
        <v>0</v>
      </c>
      <c r="CG45" s="342">
        <f t="shared" si="42"/>
        <v>0</v>
      </c>
      <c r="CH45" s="343">
        <f>'Example "lot" sheet'!$CB45*$CB$61*'Example "lot" sheet'!$CF45</f>
        <v>0</v>
      </c>
      <c r="CI45" s="9"/>
    </row>
    <row r="46" spans="39:87" ht="18.95" customHeight="1" x14ac:dyDescent="0.25">
      <c r="AM46" s="259">
        <v>41</v>
      </c>
      <c r="AN46" s="310">
        <f t="shared" si="44"/>
        <v>257</v>
      </c>
      <c r="AO46" s="9">
        <f t="shared" si="41"/>
        <v>3</v>
      </c>
      <c r="AP46" s="289">
        <v>45279</v>
      </c>
      <c r="AQ46" s="9" t="str">
        <f t="shared" si="17"/>
        <v>Heifer</v>
      </c>
      <c r="AR46" s="453">
        <f t="shared" ca="1" si="18"/>
        <v>531</v>
      </c>
      <c r="AS46" s="453">
        <f t="shared" ca="1" si="19"/>
        <v>615</v>
      </c>
      <c r="AT46" s="229">
        <f t="shared" si="39"/>
        <v>11</v>
      </c>
      <c r="AU46" s="290">
        <f t="shared" ca="1" si="20"/>
        <v>7.6363636363636367</v>
      </c>
      <c r="AV46" s="453">
        <f t="shared" ca="1" si="21"/>
        <v>700</v>
      </c>
      <c r="AW46" s="290">
        <f t="shared" ca="1" si="22"/>
        <v>2.125</v>
      </c>
      <c r="AX46" s="453">
        <f t="shared" ca="1" si="23"/>
        <v>732</v>
      </c>
      <c r="AY46" s="290">
        <f t="shared" ca="1" si="24"/>
        <v>0.71111111111111114</v>
      </c>
      <c r="AZ46" s="453">
        <f t="shared" ca="1" si="23"/>
        <v>792</v>
      </c>
      <c r="BA46" s="291">
        <f t="shared" ca="1" si="25"/>
        <v>1.8181818181818181</v>
      </c>
      <c r="BB46" s="292">
        <f t="shared" ca="1" si="8"/>
        <v>261</v>
      </c>
      <c r="BC46" s="229">
        <f t="shared" si="26"/>
        <v>131</v>
      </c>
      <c r="BD46" s="293">
        <f t="shared" ca="1" si="27"/>
        <v>1.9923664122137406</v>
      </c>
      <c r="BE46" s="293">
        <f t="shared" si="40"/>
        <v>0</v>
      </c>
      <c r="BF46" s="294">
        <f t="shared" ca="1" si="30"/>
        <v>677.42096523816076</v>
      </c>
      <c r="BG46" s="9"/>
      <c r="BH46" s="9"/>
      <c r="BI46" s="9"/>
      <c r="BJ46" s="9"/>
      <c r="BZ46" s="9"/>
      <c r="CA46" s="348"/>
      <c r="CB46" s="349"/>
      <c r="CC46" s="350" t="s">
        <v>58</v>
      </c>
      <c r="CD46" s="351"/>
      <c r="CE46" s="352"/>
      <c r="CF46" s="353">
        <f>SUM(CF39:CF45)</f>
        <v>0</v>
      </c>
      <c r="CG46" s="352">
        <f t="shared" si="42"/>
        <v>0</v>
      </c>
      <c r="CH46" s="354"/>
      <c r="CI46" s="9"/>
    </row>
    <row r="47" spans="39:87" ht="18.95" customHeight="1" thickBot="1" x14ac:dyDescent="0.3">
      <c r="AM47" s="259">
        <v>42</v>
      </c>
      <c r="AN47" s="310" t="str">
        <f t="shared" si="44"/>
        <v>-</v>
      </c>
      <c r="AO47" s="9" t="str">
        <f t="shared" si="41"/>
        <v>-</v>
      </c>
      <c r="AP47" s="289"/>
      <c r="AQ47" s="9" t="str">
        <f t="shared" si="17"/>
        <v>-</v>
      </c>
      <c r="AR47" s="453"/>
      <c r="AS47" s="453"/>
      <c r="AT47" s="229">
        <f t="shared" si="39"/>
        <v>45290</v>
      </c>
      <c r="AU47" s="290">
        <f t="shared" si="20"/>
        <v>0</v>
      </c>
      <c r="AV47" s="453"/>
      <c r="AW47" s="290">
        <f t="shared" si="22"/>
        <v>0</v>
      </c>
      <c r="AX47" s="453"/>
      <c r="AY47" s="290">
        <f t="shared" si="24"/>
        <v>0</v>
      </c>
      <c r="AZ47" s="453"/>
      <c r="BA47" s="291">
        <f t="shared" si="25"/>
        <v>0</v>
      </c>
      <c r="BB47" s="292">
        <f t="shared" si="8"/>
        <v>0</v>
      </c>
      <c r="BC47" s="229">
        <f t="shared" si="26"/>
        <v>45410</v>
      </c>
      <c r="BD47" s="293">
        <f t="shared" si="27"/>
        <v>0</v>
      </c>
      <c r="BE47" s="293">
        <f t="shared" si="40"/>
        <v>0</v>
      </c>
      <c r="BF47" s="294">
        <f t="shared" si="30"/>
        <v>0</v>
      </c>
      <c r="BG47" s="9"/>
      <c r="BH47" s="9"/>
      <c r="BI47" s="9"/>
      <c r="BJ47" s="9"/>
      <c r="BZ47" s="9"/>
      <c r="CA47" s="363"/>
      <c r="CB47" s="364"/>
      <c r="CC47" s="365"/>
      <c r="CD47" s="366" t="s">
        <v>208</v>
      </c>
      <c r="CE47" s="366"/>
      <c r="CF47" s="367"/>
      <c r="CG47" s="367"/>
      <c r="CH47" s="368">
        <f>SUMPRODUCT(CF39:CF45,CH39:CH45,CC39:CC45)</f>
        <v>0</v>
      </c>
      <c r="CI47" s="9"/>
    </row>
    <row r="48" spans="39:87" ht="18.95" customHeight="1" thickBot="1" x14ac:dyDescent="0.3">
      <c r="AM48" s="259">
        <v>43</v>
      </c>
      <c r="AN48" s="310" t="str">
        <f t="shared" si="44"/>
        <v>-</v>
      </c>
      <c r="AO48" s="9" t="str">
        <f t="shared" si="41"/>
        <v>-</v>
      </c>
      <c r="AP48" s="289"/>
      <c r="AQ48" s="9" t="str">
        <f t="shared" si="17"/>
        <v>-</v>
      </c>
      <c r="AR48" s="453"/>
      <c r="AS48" s="453"/>
      <c r="AT48" s="229">
        <f t="shared" si="39"/>
        <v>45290</v>
      </c>
      <c r="AU48" s="290">
        <f t="shared" si="20"/>
        <v>0</v>
      </c>
      <c r="AV48" s="453"/>
      <c r="AW48" s="290">
        <f t="shared" si="22"/>
        <v>0</v>
      </c>
      <c r="AX48" s="453"/>
      <c r="AY48" s="290">
        <f t="shared" si="24"/>
        <v>0</v>
      </c>
      <c r="AZ48" s="453"/>
      <c r="BA48" s="291">
        <f t="shared" si="25"/>
        <v>0</v>
      </c>
      <c r="BB48" s="292">
        <f t="shared" si="8"/>
        <v>0</v>
      </c>
      <c r="BC48" s="229">
        <f t="shared" si="26"/>
        <v>45410</v>
      </c>
      <c r="BD48" s="293">
        <f t="shared" si="27"/>
        <v>0</v>
      </c>
      <c r="BE48" s="293">
        <f t="shared" si="40"/>
        <v>0</v>
      </c>
      <c r="BF48" s="294">
        <f t="shared" si="30"/>
        <v>0</v>
      </c>
      <c r="BG48" s="9"/>
      <c r="BH48" s="9"/>
      <c r="BI48" s="9"/>
      <c r="BJ48" s="9"/>
      <c r="BZ48" s="9"/>
      <c r="CA48" s="9"/>
      <c r="CB48" s="9"/>
      <c r="CC48" s="9"/>
      <c r="CD48" s="9"/>
      <c r="CE48" s="9"/>
      <c r="CF48" s="9"/>
      <c r="CG48" s="9"/>
      <c r="CH48" s="9"/>
      <c r="CI48" s="9"/>
    </row>
    <row r="49" spans="39:87" ht="36" customHeight="1" x14ac:dyDescent="0.25">
      <c r="AM49" s="259">
        <v>44</v>
      </c>
      <c r="AN49" s="310" t="str">
        <f t="shared" si="44"/>
        <v>-</v>
      </c>
      <c r="AO49" s="9" t="str">
        <f t="shared" si="41"/>
        <v>-</v>
      </c>
      <c r="AP49" s="289"/>
      <c r="AQ49" s="9" t="str">
        <f t="shared" si="17"/>
        <v>-</v>
      </c>
      <c r="AR49" s="453"/>
      <c r="AS49" s="453"/>
      <c r="AT49" s="229">
        <f t="shared" si="39"/>
        <v>45290</v>
      </c>
      <c r="AU49" s="290">
        <f t="shared" si="20"/>
        <v>0</v>
      </c>
      <c r="AV49" s="453"/>
      <c r="AW49" s="290">
        <f t="shared" si="22"/>
        <v>0</v>
      </c>
      <c r="AX49" s="453"/>
      <c r="AY49" s="290">
        <f t="shared" si="24"/>
        <v>0</v>
      </c>
      <c r="AZ49" s="453"/>
      <c r="BA49" s="291">
        <f t="shared" si="25"/>
        <v>0</v>
      </c>
      <c r="BB49" s="292">
        <f t="shared" si="8"/>
        <v>0</v>
      </c>
      <c r="BC49" s="229">
        <f t="shared" si="26"/>
        <v>45410</v>
      </c>
      <c r="BD49" s="293">
        <f t="shared" si="27"/>
        <v>0</v>
      </c>
      <c r="BE49" s="293">
        <f t="shared" si="40"/>
        <v>0</v>
      </c>
      <c r="BF49" s="294">
        <f t="shared" si="30"/>
        <v>0</v>
      </c>
      <c r="BG49" s="9"/>
      <c r="BH49" s="9"/>
      <c r="BI49" s="9"/>
      <c r="BJ49" s="9"/>
      <c r="BZ49" s="9"/>
      <c r="CA49" s="273" t="str">
        <f>IF('Example "lot" sheet'!BN11=BN17,"-",'Example "lot" sheet'!BN11)</f>
        <v>-</v>
      </c>
      <c r="CB49" s="54" t="s">
        <v>328</v>
      </c>
      <c r="CC49" s="54" t="s">
        <v>205</v>
      </c>
      <c r="CD49" s="54" t="s">
        <v>95</v>
      </c>
      <c r="CE49" s="54" t="s">
        <v>326</v>
      </c>
      <c r="CF49" s="54" t="s">
        <v>206</v>
      </c>
      <c r="CG49" s="54" t="s">
        <v>234</v>
      </c>
      <c r="CH49" s="274" t="s">
        <v>209</v>
      </c>
      <c r="CI49" s="9"/>
    </row>
    <row r="50" spans="39:87" ht="18.95" customHeight="1" x14ac:dyDescent="0.25">
      <c r="AM50" s="259">
        <v>45</v>
      </c>
      <c r="AN50" s="310" t="str">
        <f t="shared" si="44"/>
        <v>-</v>
      </c>
      <c r="AO50" s="9" t="str">
        <f t="shared" si="41"/>
        <v>-</v>
      </c>
      <c r="AP50" s="289"/>
      <c r="AQ50" s="9" t="str">
        <f t="shared" si="17"/>
        <v>-</v>
      </c>
      <c r="AR50" s="453"/>
      <c r="AS50" s="453"/>
      <c r="AT50" s="229">
        <f t="shared" si="39"/>
        <v>45290</v>
      </c>
      <c r="AU50" s="290">
        <f t="shared" si="20"/>
        <v>0</v>
      </c>
      <c r="AV50" s="453"/>
      <c r="AW50" s="290">
        <f t="shared" si="22"/>
        <v>0</v>
      </c>
      <c r="AX50" s="453"/>
      <c r="AY50" s="290">
        <f t="shared" si="24"/>
        <v>0</v>
      </c>
      <c r="AZ50" s="453"/>
      <c r="BA50" s="291">
        <f t="shared" si="25"/>
        <v>0</v>
      </c>
      <c r="BB50" s="292">
        <f t="shared" si="8"/>
        <v>0</v>
      </c>
      <c r="BC50" s="229">
        <f t="shared" si="26"/>
        <v>45410</v>
      </c>
      <c r="BD50" s="293">
        <f t="shared" si="27"/>
        <v>0</v>
      </c>
      <c r="BE50" s="293">
        <f t="shared" si="40"/>
        <v>0</v>
      </c>
      <c r="BF50" s="294">
        <f t="shared" si="30"/>
        <v>0</v>
      </c>
      <c r="BG50" s="9"/>
      <c r="BH50" s="9"/>
      <c r="BI50" s="9"/>
      <c r="BJ50" s="9"/>
      <c r="BZ50" s="9"/>
      <c r="CA50" s="476"/>
      <c r="CB50" s="298">
        <f>IFERROR(VLOOKUP(CA50,Feed!$B$4:$H$19,2,FALSE)*($BR$11/$BQ$11)+VLOOKUP(CA50,Feed!$B$4:$H$19,3,FALSE)*($BS$11/$BQ$11)+VLOOKUP(CA50,Feed!$B$4:$H$19,4,FALSE)*($BT$11/$BQ$11)+VLOOKUP(CA50,Feed!$B$4:$H$19,5,FALSE)*($BU$11/$BQ$11),0)</f>
        <v>0</v>
      </c>
      <c r="CC50" s="299" t="str">
        <f>IFERROR(VLOOKUP('Example "lot" sheet'!$CA50,FeedIngLst,6,FALSE),"-")</f>
        <v>-</v>
      </c>
      <c r="CD50" s="299" t="str">
        <f>IFERROR(VLOOKUP('Example "lot" sheet'!$CA50,FeedIngLst,7,FALSE),"-")</f>
        <v>-</v>
      </c>
      <c r="CE50" s="482"/>
      <c r="CF50" s="299">
        <f>CE50/$CE$35</f>
        <v>0</v>
      </c>
      <c r="CG50" s="300">
        <f t="shared" ref="CG50:CG57" si="45">CE50*$R$15*$BQ$11/2000</f>
        <v>0</v>
      </c>
      <c r="CH50" s="301" t="str">
        <f>IFERROR('Example "lot" sheet'!$CB50/'Example "lot" sheet'!$CC50/(1-'Example "lot" sheet'!$CD50),"-")</f>
        <v>-</v>
      </c>
      <c r="CI50" s="9"/>
    </row>
    <row r="51" spans="39:87" ht="18.95" customHeight="1" x14ac:dyDescent="0.25">
      <c r="AM51" s="259">
        <v>46</v>
      </c>
      <c r="AN51" s="310" t="str">
        <f t="shared" si="44"/>
        <v>-</v>
      </c>
      <c r="AO51" s="9" t="str">
        <f t="shared" si="41"/>
        <v>-</v>
      </c>
      <c r="AP51" s="289"/>
      <c r="AQ51" s="9" t="str">
        <f t="shared" si="17"/>
        <v>-</v>
      </c>
      <c r="AR51" s="453"/>
      <c r="AS51" s="453"/>
      <c r="AT51" s="229">
        <f t="shared" si="39"/>
        <v>45290</v>
      </c>
      <c r="AU51" s="290">
        <f t="shared" si="20"/>
        <v>0</v>
      </c>
      <c r="AV51" s="453"/>
      <c r="AW51" s="290">
        <f t="shared" si="22"/>
        <v>0</v>
      </c>
      <c r="AX51" s="453"/>
      <c r="AY51" s="290">
        <f t="shared" si="24"/>
        <v>0</v>
      </c>
      <c r="AZ51" s="453"/>
      <c r="BA51" s="291">
        <f t="shared" si="25"/>
        <v>0</v>
      </c>
      <c r="BB51" s="292">
        <f t="shared" si="8"/>
        <v>0</v>
      </c>
      <c r="BC51" s="229">
        <f t="shared" si="26"/>
        <v>45410</v>
      </c>
      <c r="BD51" s="293">
        <f t="shared" si="27"/>
        <v>0</v>
      </c>
      <c r="BE51" s="293">
        <f t="shared" si="40"/>
        <v>0</v>
      </c>
      <c r="BF51" s="294">
        <f t="shared" si="30"/>
        <v>0</v>
      </c>
      <c r="BG51" s="9"/>
      <c r="BH51" s="9"/>
      <c r="BI51" s="9"/>
      <c r="BJ51" s="9"/>
      <c r="BZ51" s="9"/>
      <c r="CA51" s="476"/>
      <c r="CB51" s="316">
        <f>IFERROR(VLOOKUP(CA51,Feed!$B$4:$H$19,2,FALSE)*($BR$11/$BQ$11)+VLOOKUP(CA51,Feed!$B$4:$H$19,3,FALSE)*($BS$11/$BQ$11)+VLOOKUP(CA51,Feed!$B$4:$H$19,4,FALSE)*($BT$11/$BQ$11)+VLOOKUP(CA51,Feed!$B$4:$H$19,5,FALSE)*($BU$11/$BQ$11),0)</f>
        <v>0</v>
      </c>
      <c r="CC51" s="299" t="str">
        <f>IFERROR(VLOOKUP('Example "lot" sheet'!$CA51,FeedIngLst,6,FALSE),"-")</f>
        <v>-</v>
      </c>
      <c r="CD51" s="299" t="str">
        <f>IFERROR(VLOOKUP('Example "lot" sheet'!$CA51,FeedIngLst,7,FALSE),"-")</f>
        <v>-</v>
      </c>
      <c r="CE51" s="482"/>
      <c r="CF51" s="299">
        <f t="shared" ref="CF51:CF56" si="46">CE51/$CE$35</f>
        <v>0</v>
      </c>
      <c r="CG51" s="300">
        <f t="shared" si="45"/>
        <v>0</v>
      </c>
      <c r="CH51" s="301" t="str">
        <f>IFERROR('Example "lot" sheet'!$CB51/'Example "lot" sheet'!$CC51/(1-'Example "lot" sheet'!$CD51),"-")</f>
        <v>-</v>
      </c>
      <c r="CI51" s="9"/>
    </row>
    <row r="52" spans="39:87" ht="18.95" customHeight="1" x14ac:dyDescent="0.25">
      <c r="AM52" s="259">
        <v>47</v>
      </c>
      <c r="AN52" s="310" t="str">
        <f t="shared" si="44"/>
        <v>-</v>
      </c>
      <c r="AO52" s="9" t="str">
        <f t="shared" si="41"/>
        <v>-</v>
      </c>
      <c r="AP52" s="289"/>
      <c r="AQ52" s="9" t="str">
        <f t="shared" si="17"/>
        <v>-</v>
      </c>
      <c r="AR52" s="453"/>
      <c r="AS52" s="453"/>
      <c r="AT52" s="229">
        <f t="shared" si="39"/>
        <v>45290</v>
      </c>
      <c r="AU52" s="290">
        <f t="shared" si="20"/>
        <v>0</v>
      </c>
      <c r="AV52" s="453"/>
      <c r="AW52" s="290">
        <f t="shared" si="22"/>
        <v>0</v>
      </c>
      <c r="AX52" s="453"/>
      <c r="AY52" s="290">
        <f t="shared" si="24"/>
        <v>0</v>
      </c>
      <c r="AZ52" s="453"/>
      <c r="BA52" s="291">
        <f t="shared" si="25"/>
        <v>0</v>
      </c>
      <c r="BB52" s="292">
        <f t="shared" si="8"/>
        <v>0</v>
      </c>
      <c r="BC52" s="229">
        <f t="shared" si="26"/>
        <v>45410</v>
      </c>
      <c r="BD52" s="293">
        <f t="shared" si="27"/>
        <v>0</v>
      </c>
      <c r="BE52" s="293">
        <f t="shared" si="40"/>
        <v>0</v>
      </c>
      <c r="BF52" s="294">
        <f t="shared" si="30"/>
        <v>0</v>
      </c>
      <c r="BG52" s="9"/>
      <c r="BH52" s="9"/>
      <c r="BI52" s="9"/>
      <c r="BJ52" s="9"/>
      <c r="BZ52" s="9"/>
      <c r="CA52" s="476"/>
      <c r="CB52" s="316">
        <f>IFERROR(VLOOKUP(CA52,Feed!$B$4:$H$19,2,FALSE)*($BR$11/$BQ$11)+VLOOKUP(CA52,Feed!$B$4:$H$19,3,FALSE)*($BS$11/$BQ$11)+VLOOKUP(CA52,Feed!$B$4:$H$19,4,FALSE)*($BT$11/$BQ$11)+VLOOKUP(CA52,Feed!$B$4:$H$19,5,FALSE)*($BU$11/$BQ$11),0)</f>
        <v>0</v>
      </c>
      <c r="CC52" s="299" t="str">
        <f>IFERROR(VLOOKUP('Example "lot" sheet'!$CA52,FeedIngLst,6,FALSE),"-")</f>
        <v>-</v>
      </c>
      <c r="CD52" s="299" t="str">
        <f>IFERROR(VLOOKUP('Example "lot" sheet'!$CA52,FeedIngLst,7,FALSE),"-")</f>
        <v>-</v>
      </c>
      <c r="CE52" s="482"/>
      <c r="CF52" s="299">
        <f t="shared" si="46"/>
        <v>0</v>
      </c>
      <c r="CG52" s="300">
        <f t="shared" si="45"/>
        <v>0</v>
      </c>
      <c r="CH52" s="301" t="str">
        <f>IFERROR('Example "lot" sheet'!$CB52/'Example "lot" sheet'!$CC52/(1-'Example "lot" sheet'!$CD52),"-")</f>
        <v>-</v>
      </c>
      <c r="CI52" s="9"/>
    </row>
    <row r="53" spans="39:87" ht="18.95" customHeight="1" x14ac:dyDescent="0.25">
      <c r="AM53" s="259">
        <v>48</v>
      </c>
      <c r="AN53" s="310" t="str">
        <f t="shared" si="44"/>
        <v>-</v>
      </c>
      <c r="AO53" s="9" t="str">
        <f t="shared" si="41"/>
        <v>-</v>
      </c>
      <c r="AP53" s="289"/>
      <c r="AQ53" s="9" t="str">
        <f t="shared" si="17"/>
        <v>-</v>
      </c>
      <c r="AR53" s="453"/>
      <c r="AS53" s="453"/>
      <c r="AT53" s="229">
        <f t="shared" si="39"/>
        <v>45290</v>
      </c>
      <c r="AU53" s="290">
        <f t="shared" si="20"/>
        <v>0</v>
      </c>
      <c r="AV53" s="453"/>
      <c r="AW53" s="290">
        <f t="shared" si="22"/>
        <v>0</v>
      </c>
      <c r="AX53" s="453"/>
      <c r="AY53" s="290">
        <f t="shared" si="24"/>
        <v>0</v>
      </c>
      <c r="AZ53" s="453"/>
      <c r="BA53" s="291">
        <f t="shared" si="25"/>
        <v>0</v>
      </c>
      <c r="BB53" s="292">
        <f t="shared" si="8"/>
        <v>0</v>
      </c>
      <c r="BC53" s="229">
        <f t="shared" si="26"/>
        <v>45410</v>
      </c>
      <c r="BD53" s="293">
        <f t="shared" si="27"/>
        <v>0</v>
      </c>
      <c r="BE53" s="293">
        <f t="shared" si="40"/>
        <v>0</v>
      </c>
      <c r="BF53" s="294">
        <f t="shared" si="30"/>
        <v>0</v>
      </c>
      <c r="BG53" s="9"/>
      <c r="BH53" s="9"/>
      <c r="BI53" s="9"/>
      <c r="BJ53" s="9"/>
      <c r="BZ53" s="9"/>
      <c r="CA53" s="476"/>
      <c r="CB53" s="316">
        <f>IFERROR(VLOOKUP(CA53,Feed!$B$4:$H$19,2,FALSE)*($BR$11/$BQ$11)+VLOOKUP(CA53,Feed!$B$4:$H$19,3,FALSE)*($BS$11/$BQ$11)+VLOOKUP(CA53,Feed!$B$4:$H$19,4,FALSE)*($BT$11/$BQ$11)+VLOOKUP(CA53,Feed!$B$4:$H$19,5,FALSE)*($BU$11/$BQ$11),0)</f>
        <v>0</v>
      </c>
      <c r="CC53" s="299" t="str">
        <f>IFERROR(VLOOKUP('Example "lot" sheet'!$CA53,FeedIngLst,6,FALSE),"-")</f>
        <v>-</v>
      </c>
      <c r="CD53" s="299" t="str">
        <f>IFERROR(VLOOKUP('Example "lot" sheet'!$CA53,FeedIngLst,7,FALSE),"-")</f>
        <v>-</v>
      </c>
      <c r="CE53" s="482"/>
      <c r="CF53" s="299">
        <f t="shared" si="46"/>
        <v>0</v>
      </c>
      <c r="CG53" s="300">
        <f t="shared" si="45"/>
        <v>0</v>
      </c>
      <c r="CH53" s="301" t="str">
        <f>IFERROR('Example "lot" sheet'!$CB53/'Example "lot" sheet'!$CC53/(1-'Example "lot" sheet'!$CD53),"-")</f>
        <v>-</v>
      </c>
      <c r="CI53" s="9"/>
    </row>
    <row r="54" spans="39:87" ht="18.95" customHeight="1" x14ac:dyDescent="0.25">
      <c r="AM54" s="259">
        <v>49</v>
      </c>
      <c r="AN54" s="310" t="str">
        <f t="shared" si="44"/>
        <v>-</v>
      </c>
      <c r="AO54" s="9" t="str">
        <f t="shared" si="41"/>
        <v>-</v>
      </c>
      <c r="AP54" s="289"/>
      <c r="AQ54" s="9" t="str">
        <f t="shared" si="17"/>
        <v>-</v>
      </c>
      <c r="AR54" s="453"/>
      <c r="AS54" s="453"/>
      <c r="AT54" s="229">
        <f t="shared" si="39"/>
        <v>45290</v>
      </c>
      <c r="AU54" s="290">
        <f t="shared" si="20"/>
        <v>0</v>
      </c>
      <c r="AV54" s="453"/>
      <c r="AW54" s="290">
        <f t="shared" si="22"/>
        <v>0</v>
      </c>
      <c r="AX54" s="453"/>
      <c r="AY54" s="290">
        <f t="shared" si="24"/>
        <v>0</v>
      </c>
      <c r="AZ54" s="453"/>
      <c r="BA54" s="291">
        <f t="shared" si="25"/>
        <v>0</v>
      </c>
      <c r="BB54" s="292">
        <f t="shared" si="8"/>
        <v>0</v>
      </c>
      <c r="BC54" s="229">
        <f t="shared" si="26"/>
        <v>45410</v>
      </c>
      <c r="BD54" s="293">
        <f t="shared" si="27"/>
        <v>0</v>
      </c>
      <c r="BE54" s="293">
        <f t="shared" si="40"/>
        <v>0</v>
      </c>
      <c r="BF54" s="294">
        <f t="shared" si="30"/>
        <v>0</v>
      </c>
      <c r="BG54" s="9"/>
      <c r="BH54" s="9"/>
      <c r="BI54" s="9"/>
      <c r="BJ54" s="9"/>
      <c r="BZ54" s="9"/>
      <c r="CA54" s="476"/>
      <c r="CB54" s="316">
        <f>IFERROR(VLOOKUP(CA54,Feed!$B$4:$H$19,2,FALSE)*($BR$11/$BQ$11)+VLOOKUP(CA54,Feed!$B$4:$H$19,3,FALSE)*($BS$11/$BQ$11)+VLOOKUP(CA54,Feed!$B$4:$H$19,4,FALSE)*($BT$11/$BQ$11)+VLOOKUP(CA54,Feed!$B$4:$H$19,5,FALSE)*($BU$11/$BQ$11),0)</f>
        <v>0</v>
      </c>
      <c r="CC54" s="299" t="str">
        <f>IFERROR(VLOOKUP('Example "lot" sheet'!$CA54,FeedIngLst,6,FALSE),"-")</f>
        <v>-</v>
      </c>
      <c r="CD54" s="299" t="str">
        <f>IFERROR(VLOOKUP('Example "lot" sheet'!$CA54,FeedIngLst,7,FALSE),"-")</f>
        <v>-</v>
      </c>
      <c r="CE54" s="482"/>
      <c r="CF54" s="299">
        <f t="shared" si="46"/>
        <v>0</v>
      </c>
      <c r="CG54" s="300">
        <f t="shared" si="45"/>
        <v>0</v>
      </c>
      <c r="CH54" s="301" t="str">
        <f>IFERROR('Example "lot" sheet'!$CB54/'Example "lot" sheet'!$CC54/(1-'Example "lot" sheet'!$CD54),"-")</f>
        <v>-</v>
      </c>
      <c r="CI54" s="9"/>
    </row>
    <row r="55" spans="39:87" ht="18.95" customHeight="1" thickBot="1" x14ac:dyDescent="0.3">
      <c r="AM55" s="259">
        <v>50</v>
      </c>
      <c r="AN55" s="384" t="str">
        <f t="shared" si="44"/>
        <v>-</v>
      </c>
      <c r="AO55" s="385" t="str">
        <f t="shared" si="41"/>
        <v>-</v>
      </c>
      <c r="AP55" s="401"/>
      <c r="AQ55" s="385" t="str">
        <f t="shared" si="17"/>
        <v>-</v>
      </c>
      <c r="AR55" s="454"/>
      <c r="AS55" s="455"/>
      <c r="AT55" s="402">
        <f t="shared" si="39"/>
        <v>45290</v>
      </c>
      <c r="AU55" s="403">
        <f t="shared" si="20"/>
        <v>0</v>
      </c>
      <c r="AV55" s="455"/>
      <c r="AW55" s="403">
        <f t="shared" si="22"/>
        <v>0</v>
      </c>
      <c r="AX55" s="455"/>
      <c r="AY55" s="403">
        <f t="shared" si="24"/>
        <v>0</v>
      </c>
      <c r="AZ55" s="455"/>
      <c r="BA55" s="404">
        <f t="shared" si="25"/>
        <v>0</v>
      </c>
      <c r="BB55" s="405">
        <f>IF(ISERROR(MAX(AZ55,AX55,AV55,AS55,AR55)-AR55),"-",MAX(AZ55,AX55,AV55,AS55,AR55)-AR55)</f>
        <v>0</v>
      </c>
      <c r="BC55" s="402">
        <f t="shared" si="26"/>
        <v>45410</v>
      </c>
      <c r="BD55" s="406">
        <f t="shared" si="27"/>
        <v>0</v>
      </c>
      <c r="BE55" s="406">
        <f t="shared" si="40"/>
        <v>0</v>
      </c>
      <c r="BF55" s="407">
        <f t="shared" si="30"/>
        <v>0</v>
      </c>
      <c r="BG55" s="9"/>
      <c r="BH55" s="9"/>
      <c r="BI55" s="9"/>
      <c r="BJ55" s="9"/>
      <c r="BZ55" s="9"/>
      <c r="CA55" s="476"/>
      <c r="CB55" s="316">
        <f>IFERROR(VLOOKUP(CA55,Feed!$B$4:$H$19,2,FALSE)*($BR$11/$BQ$11)+VLOOKUP(CA55,Feed!$B$4:$H$19,3,FALSE)*($BS$11/$BQ$11)+VLOOKUP(CA55,Feed!$B$4:$H$19,4,FALSE)*($BT$11/$BQ$11)+VLOOKUP(CA55,Feed!$B$4:$H$19,5,FALSE)*($BU$11/$BQ$11),0)</f>
        <v>0</v>
      </c>
      <c r="CC55" s="299" t="str">
        <f>IFERROR(VLOOKUP('Example "lot" sheet'!$CA55,FeedIngLst,6,FALSE),"-")</f>
        <v>-</v>
      </c>
      <c r="CD55" s="299" t="str">
        <f>IFERROR(VLOOKUP('Example "lot" sheet'!$CA55,FeedIngLst,7,FALSE),"-")</f>
        <v>-</v>
      </c>
      <c r="CE55" s="482"/>
      <c r="CF55" s="299">
        <f t="shared" si="46"/>
        <v>0</v>
      </c>
      <c r="CG55" s="300">
        <f t="shared" si="45"/>
        <v>0</v>
      </c>
      <c r="CH55" s="301" t="str">
        <f>IFERROR('Example "lot" sheet'!$CB55/'Example "lot" sheet'!$CC55/(1-'Example "lot" sheet'!$CD55),"-")</f>
        <v>-</v>
      </c>
      <c r="CI55" s="9"/>
    </row>
    <row r="56" spans="39:87" ht="18.95" customHeight="1" thickBot="1" x14ac:dyDescent="0.3">
      <c r="AM56" s="9"/>
      <c r="AN56" s="628" t="s">
        <v>138</v>
      </c>
      <c r="AO56" s="629"/>
      <c r="AP56" s="629"/>
      <c r="AQ56" s="629"/>
      <c r="AR56" s="408">
        <f ca="1">IFERROR(AVERAGE(AR6:AR55),)</f>
        <v>513.8780487804878</v>
      </c>
      <c r="AS56" s="408">
        <f ca="1">IFERROR(AVERAGE(AS6:AS55),)</f>
        <v>571.125</v>
      </c>
      <c r="AT56" s="408"/>
      <c r="AU56" s="408">
        <f t="shared" ref="AU56:BD56" ca="1" si="47">AVERAGE(AU6:AU55)</f>
        <v>1.9011131725417441</v>
      </c>
      <c r="AV56" s="408">
        <f ca="1">IFERROR(AVERAGE(AV6:AV55),)</f>
        <v>632.17948717948718</v>
      </c>
      <c r="AW56" s="408">
        <f t="shared" ca="1" si="47"/>
        <v>1.2270833333333333</v>
      </c>
      <c r="AX56" s="408">
        <f ca="1">IFERROR(AVERAGE(AX6:AX55),)</f>
        <v>691.33333333333337</v>
      </c>
      <c r="AY56" s="408">
        <f ca="1">IFERROR(AVERAGE(AY6:AY55),"No weights entered")</f>
        <v>1.0462585034013605</v>
      </c>
      <c r="AZ56" s="408">
        <f ca="1">IFERROR(AVERAGE(AZ6:AZ55),)</f>
        <v>749.30769230769226</v>
      </c>
      <c r="BA56" s="408">
        <f ca="1">IFERROR(AVERAGE(BA6:BA55),"No weights entered")</f>
        <v>1.3703030303030304</v>
      </c>
      <c r="BB56" s="409">
        <f t="shared" ca="1" si="47"/>
        <v>183.94</v>
      </c>
      <c r="BC56" s="408"/>
      <c r="BD56" s="408">
        <f t="shared" ca="1" si="47"/>
        <v>1.2101225097747159</v>
      </c>
      <c r="BE56" s="408">
        <f>AVERAGE(BE6:BE55)</f>
        <v>0.08</v>
      </c>
      <c r="BF56" s="410">
        <f ca="1">AVERAGE(BF6:BF55)</f>
        <v>403.80189909834985</v>
      </c>
      <c r="BG56" s="9"/>
      <c r="BH56" s="9"/>
      <c r="BI56" s="9"/>
      <c r="BJ56" s="9"/>
      <c r="BZ56" s="9"/>
      <c r="CA56" s="338" t="s">
        <v>330</v>
      </c>
      <c r="CB56" s="339">
        <f>'AUM Evaluator'!$S$9*$CB$61</f>
        <v>78.359787947924048</v>
      </c>
      <c r="CC56" s="299">
        <v>1</v>
      </c>
      <c r="CD56" s="340">
        <v>0</v>
      </c>
      <c r="CE56" s="483"/>
      <c r="CF56" s="341">
        <f t="shared" si="46"/>
        <v>0</v>
      </c>
      <c r="CG56" s="342">
        <f t="shared" si="45"/>
        <v>0</v>
      </c>
      <c r="CH56" s="343">
        <f>'Example "lot" sheet'!$CB56*$CB$61*'Example "lot" sheet'!$CF56</f>
        <v>0</v>
      </c>
      <c r="CI56" s="9"/>
    </row>
    <row r="57" spans="39:87" ht="18.95" customHeight="1" x14ac:dyDescent="0.25">
      <c r="AM57" s="9"/>
      <c r="AN57" s="9"/>
      <c r="AO57" s="9"/>
      <c r="AP57" s="9"/>
      <c r="AQ57" s="9" t="s">
        <v>301</v>
      </c>
      <c r="AR57" s="259" t="s">
        <v>244</v>
      </c>
      <c r="AS57" s="259">
        <f ca="1">COUNTIF(AS6:AS55,$BH$13)</f>
        <v>1</v>
      </c>
      <c r="AT57" s="259"/>
      <c r="AU57" s="259"/>
      <c r="AV57" s="259">
        <f ca="1">COUNTIF(AV6:AV55,$BH$13)</f>
        <v>0</v>
      </c>
      <c r="AW57" s="259"/>
      <c r="AX57" s="259">
        <f ca="1">COUNTIF(AX6:AX55,$BH$13)</f>
        <v>0</v>
      </c>
      <c r="AY57" s="259"/>
      <c r="AZ57" s="259">
        <f ca="1">COUNTIF(AZ6:AZ55,$BH$13)</f>
        <v>0</v>
      </c>
      <c r="BA57" s="9"/>
      <c r="BB57" s="9"/>
      <c r="BC57" s="9"/>
      <c r="BD57" s="9"/>
      <c r="BE57" s="9"/>
      <c r="BF57" s="9"/>
      <c r="BG57" s="9"/>
      <c r="BH57" s="9"/>
      <c r="BI57" s="9"/>
      <c r="BJ57" s="9"/>
      <c r="BZ57" s="9"/>
      <c r="CA57" s="348"/>
      <c r="CB57" s="349"/>
      <c r="CC57" s="350" t="s">
        <v>58</v>
      </c>
      <c r="CD57" s="351"/>
      <c r="CE57" s="352"/>
      <c r="CF57" s="353">
        <f>SUM(CF50:CF56)</f>
        <v>0</v>
      </c>
      <c r="CG57" s="352">
        <f t="shared" si="45"/>
        <v>0</v>
      </c>
      <c r="CH57" s="354"/>
      <c r="CI57" s="9"/>
    </row>
    <row r="58" spans="39:87" ht="18.95" customHeight="1" thickBot="1" x14ac:dyDescent="0.3">
      <c r="AM58" s="9"/>
      <c r="AN58" s="9"/>
      <c r="AO58" s="9"/>
      <c r="AP58" s="9"/>
      <c r="AQ58" s="9" t="s">
        <v>302</v>
      </c>
      <c r="AR58" s="259" t="s">
        <v>303</v>
      </c>
      <c r="AS58" s="259">
        <f ca="1">COUNTIF(AS6:AS55,$BH$14)</f>
        <v>0</v>
      </c>
      <c r="AT58" s="259"/>
      <c r="AU58" s="259"/>
      <c r="AV58" s="259">
        <f ca="1">COUNTIF(AV6:AV55,$BH$14)</f>
        <v>1</v>
      </c>
      <c r="AW58" s="259"/>
      <c r="AX58" s="259">
        <f ca="1">COUNTIF(AX6:AX55,$BH$14)</f>
        <v>0</v>
      </c>
      <c r="AY58" s="259"/>
      <c r="AZ58" s="259">
        <f ca="1">COUNTIF(AZ6:AZ55,$BH$14)</f>
        <v>0</v>
      </c>
      <c r="BA58" s="9"/>
      <c r="BB58" s="9"/>
      <c r="BC58" s="9"/>
      <c r="BD58" s="9"/>
      <c r="BE58" s="9"/>
      <c r="BF58" s="9"/>
      <c r="BG58" s="9"/>
      <c r="BH58" s="9"/>
      <c r="BI58" s="9"/>
      <c r="BJ58" s="9"/>
      <c r="BZ58" s="9"/>
      <c r="CA58" s="363"/>
      <c r="CB58" s="364"/>
      <c r="CC58" s="365"/>
      <c r="CD58" s="366" t="s">
        <v>208</v>
      </c>
      <c r="CE58" s="366"/>
      <c r="CF58" s="367">
        <f>SUM(CF51:CF57)</f>
        <v>0</v>
      </c>
      <c r="CG58" s="367"/>
      <c r="CH58" s="368">
        <f>SUMPRODUCT(CF50:CF56,CH50:CH56,CC50:CC56)</f>
        <v>0</v>
      </c>
      <c r="CI58" s="9"/>
    </row>
    <row r="59" spans="39:87" ht="18.95" customHeight="1" x14ac:dyDescent="0.25">
      <c r="AM59" s="9"/>
      <c r="AN59" s="9"/>
      <c r="AO59" s="9"/>
      <c r="AP59" s="9"/>
      <c r="AQ59" s="9"/>
      <c r="AR59" s="9"/>
      <c r="AS59" s="9"/>
      <c r="AT59" s="9"/>
      <c r="AU59" s="9"/>
      <c r="AV59" s="9"/>
      <c r="AW59" s="9"/>
      <c r="AX59" s="9"/>
      <c r="AY59" s="9"/>
      <c r="AZ59" s="9"/>
      <c r="BA59" s="9"/>
      <c r="BB59" s="9"/>
      <c r="BC59" s="9"/>
      <c r="BD59" s="9"/>
      <c r="BE59" s="9"/>
      <c r="BF59" s="9"/>
      <c r="BG59" s="9"/>
      <c r="BH59" s="9"/>
      <c r="BI59" s="9"/>
      <c r="BJ59" s="9"/>
      <c r="BZ59" s="9"/>
      <c r="CA59" s="9"/>
      <c r="CB59" s="9"/>
      <c r="CC59" s="9"/>
      <c r="CD59" s="9"/>
      <c r="CE59" s="9"/>
      <c r="CF59" s="9"/>
      <c r="CG59" s="9"/>
      <c r="CH59" s="9"/>
      <c r="CI59" s="9"/>
    </row>
    <row r="60" spans="39:87" ht="18.95" customHeight="1" x14ac:dyDescent="0.25">
      <c r="AP60" s="216" t="s">
        <v>251</v>
      </c>
      <c r="AS60" s="411">
        <f ca="1">(AZ56+AR56)/2</f>
        <v>631.59287054409003</v>
      </c>
      <c r="AT60" s="411"/>
      <c r="BZ60" s="9"/>
      <c r="CA60" s="259" t="s">
        <v>210</v>
      </c>
      <c r="CB60" s="259">
        <v>780</v>
      </c>
      <c r="CC60" s="259" t="s">
        <v>171</v>
      </c>
      <c r="CD60" s="9"/>
      <c r="CE60" s="9"/>
      <c r="CF60" s="9"/>
      <c r="CG60" s="9"/>
      <c r="CH60" s="9"/>
      <c r="CI60" s="9"/>
    </row>
    <row r="61" spans="39:87" ht="18.95" customHeight="1" x14ac:dyDescent="0.25">
      <c r="BZ61" s="9"/>
      <c r="CA61" s="259" t="s">
        <v>211</v>
      </c>
      <c r="CB61" s="412">
        <f>2000/CB60</f>
        <v>2.5641025641025643</v>
      </c>
      <c r="CC61" s="259"/>
      <c r="CD61" s="9"/>
      <c r="CE61" s="9"/>
      <c r="CF61" s="9"/>
      <c r="CG61" s="9"/>
      <c r="CH61" s="9"/>
      <c r="CI61" s="9"/>
    </row>
    <row r="98" spans="40:43" ht="18.95" customHeight="1" x14ac:dyDescent="0.25">
      <c r="AN98" s="630" t="s">
        <v>190</v>
      </c>
      <c r="AO98" s="631"/>
      <c r="AP98" s="631"/>
      <c r="AQ98" s="632"/>
    </row>
    <row r="99" spans="40:43" ht="18.95" customHeight="1" x14ac:dyDescent="0.25">
      <c r="AN99" s="413"/>
      <c r="AO99" s="633" t="s">
        <v>110</v>
      </c>
      <c r="AP99" s="633"/>
      <c r="AQ99" s="414" t="s">
        <v>111</v>
      </c>
    </row>
    <row r="100" spans="40:43" ht="18.95" customHeight="1" x14ac:dyDescent="0.25">
      <c r="AN100" s="415" t="s">
        <v>191</v>
      </c>
      <c r="AO100" s="416"/>
      <c r="AP100" s="416"/>
      <c r="AQ100" s="417"/>
    </row>
    <row r="101" spans="40:43" ht="18.95" customHeight="1" x14ac:dyDescent="0.25">
      <c r="AN101" s="415"/>
      <c r="AO101" s="416" t="s">
        <v>112</v>
      </c>
      <c r="AP101" s="416"/>
      <c r="AQ101" s="418">
        <v>1.32</v>
      </c>
    </row>
    <row r="102" spans="40:43" ht="18.95" customHeight="1" x14ac:dyDescent="0.25">
      <c r="AN102" s="415"/>
      <c r="AO102" s="416" t="s">
        <v>113</v>
      </c>
      <c r="AP102" s="416"/>
      <c r="AQ102" s="418">
        <v>0</v>
      </c>
    </row>
    <row r="103" spans="40:43" ht="18.95" customHeight="1" x14ac:dyDescent="0.25">
      <c r="AN103" s="415"/>
      <c r="AO103" s="419" t="s">
        <v>114</v>
      </c>
      <c r="AP103" s="419"/>
      <c r="AQ103" s="418">
        <v>1.71</v>
      </c>
    </row>
    <row r="104" spans="40:43" ht="18.95" customHeight="1" x14ac:dyDescent="0.25">
      <c r="AN104" s="415"/>
      <c r="AO104" s="420" t="s">
        <v>115</v>
      </c>
      <c r="AP104" s="421"/>
      <c r="AQ104" s="418">
        <v>1.33</v>
      </c>
    </row>
    <row r="105" spans="40:43" ht="18.95" customHeight="1" x14ac:dyDescent="0.25">
      <c r="AN105" s="415"/>
      <c r="AO105" s="416" t="s">
        <v>116</v>
      </c>
      <c r="AP105" s="416"/>
      <c r="AQ105" s="418">
        <v>1.1499999999999999</v>
      </c>
    </row>
    <row r="106" spans="40:43" ht="18.95" customHeight="1" x14ac:dyDescent="0.25">
      <c r="AN106" s="415"/>
      <c r="AO106" s="416" t="s">
        <v>117</v>
      </c>
      <c r="AP106" s="416"/>
      <c r="AQ106" s="422">
        <v>3.29</v>
      </c>
    </row>
    <row r="107" spans="40:43" ht="18.95" customHeight="1" x14ac:dyDescent="0.25">
      <c r="AN107" s="415"/>
      <c r="AO107" s="416" t="s">
        <v>118</v>
      </c>
      <c r="AP107" s="416"/>
      <c r="AQ107" s="423">
        <v>3.94</v>
      </c>
    </row>
    <row r="108" spans="40:43" ht="18.95" customHeight="1" x14ac:dyDescent="0.25">
      <c r="AN108" s="415"/>
      <c r="AO108" s="416" t="s">
        <v>119</v>
      </c>
      <c r="AP108" s="416"/>
      <c r="AQ108" s="423">
        <v>2.2799999999999998</v>
      </c>
    </row>
    <row r="109" spans="40:43" ht="18.95" customHeight="1" x14ac:dyDescent="0.25">
      <c r="AN109" s="415"/>
      <c r="AO109" s="416"/>
      <c r="AP109" s="416"/>
      <c r="AQ109" s="418">
        <f>+SUM(AQ101:AQ108)*AO94</f>
        <v>0</v>
      </c>
    </row>
    <row r="110" spans="40:43" ht="18.95" customHeight="1" x14ac:dyDescent="0.25">
      <c r="AN110" s="415" t="s">
        <v>120</v>
      </c>
      <c r="AO110" s="416"/>
      <c r="AP110" s="416"/>
      <c r="AQ110" s="417"/>
    </row>
    <row r="111" spans="40:43" ht="18.95" customHeight="1" x14ac:dyDescent="0.25">
      <c r="AN111" s="415"/>
      <c r="AO111" s="416" t="s">
        <v>121</v>
      </c>
      <c r="AP111" s="416"/>
      <c r="AQ111" s="418">
        <v>696</v>
      </c>
    </row>
    <row r="112" spans="40:43" ht="18.95" customHeight="1" x14ac:dyDescent="0.25">
      <c r="AN112" s="415"/>
      <c r="AO112" s="416"/>
      <c r="AP112" s="416"/>
      <c r="AQ112" s="417"/>
    </row>
    <row r="113" spans="40:43" ht="18.95" customHeight="1" x14ac:dyDescent="0.25">
      <c r="AN113" s="415" t="s">
        <v>122</v>
      </c>
      <c r="AO113" s="416"/>
      <c r="AP113" s="424" t="s">
        <v>123</v>
      </c>
      <c r="AQ113" s="425">
        <f>+AZ213</f>
        <v>0</v>
      </c>
    </row>
    <row r="114" spans="40:43" ht="18.95" customHeight="1" x14ac:dyDescent="0.25">
      <c r="AN114" s="415"/>
      <c r="AO114" s="623"/>
      <c r="AP114" s="623"/>
      <c r="AQ114" s="418">
        <v>0</v>
      </c>
    </row>
    <row r="115" spans="40:43" ht="18.95" customHeight="1" x14ac:dyDescent="0.25">
      <c r="AQ115" s="426"/>
    </row>
    <row r="116" spans="40:43" ht="18.95" customHeight="1" x14ac:dyDescent="0.25">
      <c r="AN116" s="415" t="s">
        <v>124</v>
      </c>
      <c r="AO116" s="416"/>
      <c r="AP116" s="416"/>
      <c r="AQ116" s="418" t="e">
        <f>+((SUM(AQ113,AQ109,AQ118,#REF!)*8.5%)/365)*80</f>
        <v>#REF!</v>
      </c>
    </row>
    <row r="117" spans="40:43" ht="18.95" customHeight="1" x14ac:dyDescent="0.25">
      <c r="AN117" s="415"/>
      <c r="AO117" s="416"/>
      <c r="AP117" s="416"/>
      <c r="AQ117" s="418" t="s">
        <v>125</v>
      </c>
    </row>
    <row r="118" spans="40:43" ht="18.95" customHeight="1" x14ac:dyDescent="0.25">
      <c r="AN118" s="427" t="s">
        <v>19</v>
      </c>
      <c r="AO118" s="428"/>
      <c r="AQ118" s="429">
        <v>300</v>
      </c>
    </row>
    <row r="119" spans="40:43" ht="18.95" customHeight="1" x14ac:dyDescent="0.25">
      <c r="AQ119" s="426"/>
    </row>
    <row r="120" spans="40:43" ht="18.95" customHeight="1" x14ac:dyDescent="0.25">
      <c r="AN120" s="415" t="s">
        <v>126</v>
      </c>
      <c r="AP120" s="416" t="s">
        <v>127</v>
      </c>
      <c r="AQ120" s="430">
        <f>30*AO96</f>
        <v>0</v>
      </c>
    </row>
    <row r="121" spans="40:43" ht="18.95" customHeight="1" x14ac:dyDescent="0.25">
      <c r="AN121" s="431"/>
      <c r="AO121" s="624" t="s">
        <v>128</v>
      </c>
      <c r="AP121" s="624"/>
      <c r="AQ121" s="432" t="e">
        <f>+SUM(AQ109,AQ118,AQ111,AQ113,AQ114,AQ116,AQ120)</f>
        <v>#REF!</v>
      </c>
    </row>
  </sheetData>
  <sortState xmlns:xlrd2="http://schemas.microsoft.com/office/spreadsheetml/2017/richdata2" ref="DJ5:DP30">
    <sortCondition ref="DJ5:DJ30"/>
  </sortState>
  <mergeCells count="46">
    <mergeCell ref="AO114:AP114"/>
    <mergeCell ref="P1:AE1"/>
    <mergeCell ref="EM1:EP2"/>
    <mergeCell ref="AN2:AQ2"/>
    <mergeCell ref="DR1:DU2"/>
    <mergeCell ref="CM1:CO1"/>
    <mergeCell ref="CP1:CS2"/>
    <mergeCell ref="EK1:EL1"/>
    <mergeCell ref="DJ1:DQ1"/>
    <mergeCell ref="BG1:BJ2"/>
    <mergeCell ref="BN1:CH1"/>
    <mergeCell ref="AX2:AY2"/>
    <mergeCell ref="AZ2:BA2"/>
    <mergeCell ref="BB2:BF2"/>
    <mergeCell ref="EC1:EF2"/>
    <mergeCell ref="AO121:AP121"/>
    <mergeCell ref="DY1:EB1"/>
    <mergeCell ref="DZ24:EA24"/>
    <mergeCell ref="DY16:DY17"/>
    <mergeCell ref="DY5:EB5"/>
    <mergeCell ref="DY11:EB11"/>
    <mergeCell ref="DZ25:EA25"/>
    <mergeCell ref="BN5:BY5"/>
    <mergeCell ref="AN1:BF1"/>
    <mergeCell ref="CW1:DB1"/>
    <mergeCell ref="DC1:DF2"/>
    <mergeCell ref="CI1:CI2"/>
    <mergeCell ref="AS2:AU2"/>
    <mergeCell ref="AV2:AW2"/>
    <mergeCell ref="AN98:AQ98"/>
    <mergeCell ref="AO99:AP99"/>
    <mergeCell ref="A12:F12"/>
    <mergeCell ref="AN56:AQ56"/>
    <mergeCell ref="A1:F1"/>
    <mergeCell ref="A11:F11"/>
    <mergeCell ref="A3:F3"/>
    <mergeCell ref="A10:F10"/>
    <mergeCell ref="A5:F5"/>
    <mergeCell ref="A9:F9"/>
    <mergeCell ref="A6:F6"/>
    <mergeCell ref="AG1:AJ2"/>
    <mergeCell ref="I1:K1"/>
    <mergeCell ref="A2:F2"/>
    <mergeCell ref="A7:F7"/>
    <mergeCell ref="A8:F8"/>
    <mergeCell ref="L1:L2"/>
  </mergeCells>
  <phoneticPr fontId="25" type="noConversion"/>
  <conditionalFormatting sqref="DZ25:EB25">
    <cfRule type="colorScale" priority="2">
      <colorScale>
        <cfvo type="num" val="&quot;&lt;0&quot;"/>
        <cfvo type="num" val="&quot;&gt;=0&quot;"/>
        <color rgb="FFC00000"/>
        <color theme="1"/>
      </colorScale>
    </cfRule>
  </conditionalFormatting>
  <conditionalFormatting sqref="EB25">
    <cfRule type="cellIs" dxfId="0" priority="1" operator="lessThan">
      <formula>0</formula>
    </cfRule>
  </conditionalFormatting>
  <dataValidations xWindow="445" yWindow="471" count="12">
    <dataValidation allowBlank="1" showInputMessage="1" showErrorMessage="1" prompt="The sum of ration ingredients as a percent of the total dry matter in the diet must equal 100%." sqref="CF28:CG34 CF17:CG23 CF6:CG12 CF39 CF41:CG45 CG39:CG40" xr:uid="{D9688F5D-470F-4E79-BEF7-FF2A7A8E26E8}"/>
    <dataValidation type="list" allowBlank="1" showInputMessage="1" showErrorMessage="1" sqref="CZ5:CZ18" xr:uid="{2175B2B1-FB52-4CE2-BB48-FB0F1EBAE317}">
      <formula1>$DD$6:$DD$7</formula1>
    </dataValidation>
    <dataValidation type="list" allowBlank="1" showInputMessage="1" showErrorMessage="1" sqref="DN5:DN29" xr:uid="{103F5D0C-576B-4B71-A9EC-57F68E9B4FA2}">
      <formula1>$CW$5:$CW$18</formula1>
    </dataValidation>
    <dataValidation type="list" allowBlank="1" showInputMessage="1" showErrorMessage="1" sqref="CO3" xr:uid="{914ED5D4-CF9C-49FD-94C8-7A4DD8A8695E}">
      <formula1>$BN$7:$BN$11</formula1>
    </dataValidation>
    <dataValidation type="date" allowBlank="1" showInputMessage="1" showErrorMessage="1" error="Feed start date must be later than the first date cattle are purchased and before the date that the sale is recorded." prompt="Feed start date must be later than the first date cattle are purchased and before the date that the sale is recorded." sqref="BO7:BO11" xr:uid="{6CD6B126-E74C-42BE-B3D7-07BE1AA86294}">
      <formula1>$BO$2</formula1>
      <formula2>$BQ$2</formula2>
    </dataValidation>
    <dataValidation type="whole" allowBlank="1" showInputMessage="1" showErrorMessage="1" sqref="DJ5:DJ29" xr:uid="{AD1894EA-64FD-4EBA-B7BB-737247F41F96}">
      <formula1>MIN(AN6:AN55)</formula1>
      <formula2>MAX(AN6:AN55)</formula2>
    </dataValidation>
    <dataValidation type="date" allowBlank="1" showInputMessage="1" showErrorMessage="1" error="Feed end date must be later than the first date cattle are purchased and on or before the date that the sale is recorded." prompt="Feed end date must be later than the first date cattle are purchased and on or before the date that the sale is recorded." sqref="BP7:BP11" xr:uid="{950D1B85-9E8F-437B-8A45-E423CE48C7EC}">
      <formula1>$BO$2</formula1>
      <formula2>$BQ$2</formula2>
    </dataValidation>
    <dataValidation type="whole" allowBlank="1" showInputMessage="1" showErrorMessage="1" sqref="DK5:DK29" xr:uid="{EFC00979-3518-4517-B66C-CA213CE9D6C7}">
      <formula1>MIN($AP$6:$AP$55,$AR$2,$AS$2,$AV$2,$AX$2,$AZ$2)</formula1>
      <formula2>MAX($AP$6:$AP$55,$AR$2,$AS$2,$AV$2,$AX$2,$AZ$2)</formula2>
    </dataValidation>
    <dataValidation type="whole" allowBlank="1" showInputMessage="1" showErrorMessage="1" error="The number of head sold exceeds the number of animals purchased or entered into the program." sqref="AA15" xr:uid="{D084DE72-D0B6-45C2-9196-ED666BF8A782}">
      <formula1>0</formula1>
      <formula2>R15</formula2>
    </dataValidation>
    <dataValidation type="custom" allowBlank="1" showInputMessage="1" showErrorMessage="1" error="Sum of animals sold exceeds the number of head purchased or entered into the program." sqref="AA5:AA14" xr:uid="{DEBB20F0-9960-4282-9379-DF52ACD9A0EC}">
      <formula1>SUM($AA$5:$AA$14)&lt;=$R$15</formula1>
    </dataValidation>
    <dataValidation type="list" allowBlank="1" showInputMessage="1" showErrorMessage="1" sqref="S5:S14" xr:uid="{9E415B8A-3267-4220-9588-7AC6E74B9A80}">
      <formula1>$AH$7:$AH$11</formula1>
    </dataValidation>
    <dataValidation type="whole" allowBlank="1" showInputMessage="1" showErrorMessage="1" sqref="DJ30:DL30" xr:uid="{18E15901-E930-4A55-897F-527622D2E332}">
      <formula1>#REF!</formula1>
      <formula2>#REF!</formula2>
    </dataValidation>
  </dataValidations>
  <hyperlinks>
    <hyperlink ref="A11:F11" location="'Example &quot;lot&quot; sheet'!EB1" display="Grower-finisher budget" xr:uid="{ADBB88D6-20AC-472B-A86C-9B84FED78A59}"/>
    <hyperlink ref="AG1:AJ2" location="'Example &quot;lot&quot; sheet'!A1" display="Return to navigation menu" xr:uid="{581BE547-1785-4E83-BCEA-418FD4A63216}"/>
    <hyperlink ref="EC1:EF2" location="'Example &quot;lot&quot; sheet'!A1" display="Return to navigation menu" xr:uid="{328D1036-5B0D-4793-887A-DC0AB70B13A2}"/>
    <hyperlink ref="DR1:DU2" location="'Example &quot;lot&quot; sheet'!A1" display="Return to navigation menu" xr:uid="{3F2FD62B-48D6-4C11-8F46-A1CA253675E2}"/>
    <hyperlink ref="CP1:CS2" location="'Example &quot;lot&quot; sheet'!A1" display="Return to navigation menu" xr:uid="{F18FC911-2AD7-4F8A-8D11-30CF877E29CE}"/>
    <hyperlink ref="EM1:EP2" location="'Example &quot;lot&quot; sheet'!A1" display="Return to navigation menu" xr:uid="{031718DE-1C3A-43DA-A637-D75C205E01E0}"/>
    <hyperlink ref="A12:F12" location="'Example &quot;lot&quot; sheet'!EM1" display="Financial analysis" xr:uid="{6B1F276C-5953-4A77-9D84-904D625E9F67}"/>
    <hyperlink ref="A10:F10" location="'Example &quot;lot&quot; sheet'!DP1" display="Individual animal treatments" xr:uid="{18547B0C-53C8-42E0-B686-4C34223F4D46}"/>
    <hyperlink ref="A5:F5" location="'Example &quot;lot&quot; sheet'!AH1" display="Lot summary" xr:uid="{F4DBD109-EE51-4BC9-BA48-0CEC17CAF584}"/>
    <hyperlink ref="A6:F6" location="'Example &quot;lot&quot; sheet'!BI1" display="Animal information" xr:uid="{69F9D1D3-D794-4D43-B972-5DE09BDD6FC7}"/>
    <hyperlink ref="A9:F9" location="'Example &quot;lot&quot; sheet'!DD1" display="Veterinary" xr:uid="{D68D7C9E-A7F0-4B1F-A112-C6FB0406013C}"/>
    <hyperlink ref="DC1:DF2" location="'Example &quot;lot&quot; sheet'!A1" display="Return to navigation menu" xr:uid="{0CDBC84F-2693-43BD-A975-35EC7FD7D765}"/>
    <hyperlink ref="A2:F2" location="'Example &quot;lot&quot; sheet'!L1" display="Inputs" xr:uid="{B4485B16-25C6-4C58-9B81-C2368B9CDAB2}"/>
    <hyperlink ref="A7:F7" location="'Example &quot;lot&quot; sheet'!BY1" display="Feed ration builder" xr:uid="{72FFE030-C980-4E9F-A907-2540C06203ED}"/>
    <hyperlink ref="A8:F8" location="'Example &quot;lot&quot; sheet'!CR1" display="Feed summary" xr:uid="{CC8733BF-1A0D-4EB1-9FA7-5E27BA024D01}"/>
    <hyperlink ref="CI1:CI2" location="'Example &quot;lot&quot; sheet'!A1" display="Return to navigation menu" xr:uid="{79F7B662-5538-4175-A4C2-5C0F43F920DC}"/>
    <hyperlink ref="L1:L2" location="'Example &quot;lot&quot; sheet'!A1" display="Return to navigation menu" xr:uid="{61BCAB6D-8178-4C0F-89F9-160B44832D53}"/>
    <hyperlink ref="BG1:BJ2" location="'Example &quot;lot&quot; sheet'!A1" display="Return to navigation menu" xr:uid="{42FBB0E6-A4DC-40A8-A5E5-D21FA35308E0}"/>
  </hyperlinks>
  <pageMargins left="0.7" right="0.7" top="0.75" bottom="0.75" header="0.3" footer="0.3"/>
  <extLst>
    <ext xmlns:x14="http://schemas.microsoft.com/office/spreadsheetml/2009/9/main" uri="{CCE6A557-97BC-4b89-ADB6-D9C93CAAB3DF}">
      <x14:dataValidations xmlns:xm="http://schemas.microsoft.com/office/excel/2006/main" xWindow="445" yWindow="471" count="2">
        <x14:dataValidation type="list" allowBlank="1" showInputMessage="1" showErrorMessage="1" xr:uid="{4076F181-CBE8-4ACC-AA24-3F00C0D95255}">
          <x14:formula1>
            <xm:f>Feed!$B$4:$B$19</xm:f>
          </x14:formula1>
          <xm:sqref>CA6:CA11 CA28:CA33 CA39:CA44 CA50:CA55 CA17:CA22</xm:sqref>
        </x14:dataValidation>
        <x14:dataValidation type="list" allowBlank="1" showInputMessage="1" showErrorMessage="1" xr:uid="{6FCD7B89-0C86-4D8F-A573-AA8F50FDE12A}">
          <x14:formula1>
            <xm:f>'AUM Evaluator'!$V$4:$V$11</xm:f>
          </x14:formula1>
          <xm:sqref>J8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66787-84B7-49A7-8566-7ED05A435F1F}">
  <dimension ref="A1:O33"/>
  <sheetViews>
    <sheetView showGridLines="0" workbookViewId="0">
      <selection activeCell="J25" sqref="J25"/>
    </sheetView>
  </sheetViews>
  <sheetFormatPr defaultColWidth="0" defaultRowHeight="15" zeroHeight="1" x14ac:dyDescent="0.25"/>
  <cols>
    <col min="1" max="1" width="41.85546875" bestFit="1" customWidth="1"/>
    <col min="2" max="7" width="12.7109375" customWidth="1"/>
    <col min="8" max="8" width="9.140625" customWidth="1"/>
    <col min="9" max="9" width="41.85546875" style="46" bestFit="1" customWidth="1"/>
    <col min="10" max="14" width="12.7109375" style="46" customWidth="1"/>
    <col min="15" max="15" width="9.140625" style="46" customWidth="1"/>
    <col min="16" max="16384" width="9.140625" hidden="1"/>
  </cols>
  <sheetData>
    <row r="1" spans="1:14" customFormat="1" ht="23.25" x14ac:dyDescent="0.25">
      <c r="A1" s="640" t="s">
        <v>203</v>
      </c>
      <c r="B1" s="641"/>
      <c r="C1" s="641"/>
      <c r="D1" s="641"/>
      <c r="E1" s="641"/>
      <c r="F1" s="641"/>
      <c r="G1" s="642"/>
      <c r="I1" s="640" t="s">
        <v>380</v>
      </c>
      <c r="J1" s="641"/>
      <c r="K1" s="641"/>
      <c r="L1" s="641"/>
      <c r="M1" s="641"/>
      <c r="N1" s="642"/>
    </row>
    <row r="2" spans="1:14" customFormat="1" ht="23.25" x14ac:dyDescent="0.3">
      <c r="A2" s="136"/>
      <c r="B2" s="137" t="s">
        <v>373</v>
      </c>
      <c r="C2" s="137" t="s">
        <v>374</v>
      </c>
      <c r="D2" s="137" t="s">
        <v>375</v>
      </c>
      <c r="E2" s="137" t="s">
        <v>376</v>
      </c>
      <c r="F2" s="137" t="s">
        <v>377</v>
      </c>
      <c r="G2" s="138" t="s">
        <v>138</v>
      </c>
      <c r="I2" s="136"/>
      <c r="J2" s="137" t="s">
        <v>373</v>
      </c>
      <c r="K2" s="137" t="s">
        <v>374</v>
      </c>
      <c r="L2" s="137" t="s">
        <v>375</v>
      </c>
      <c r="M2" s="137" t="s">
        <v>376</v>
      </c>
      <c r="N2" s="138" t="s">
        <v>377</v>
      </c>
    </row>
    <row r="3" spans="1:14" customFormat="1" ht="15.75" x14ac:dyDescent="0.25">
      <c r="A3" s="57" t="s">
        <v>224</v>
      </c>
      <c r="B3" s="143" t="str">
        <f>'Lot 1'!$CO$11</f>
        <v>-</v>
      </c>
      <c r="C3" s="143" t="str">
        <f>'Lot 2'!$CO$11</f>
        <v>-</v>
      </c>
      <c r="D3" s="143" t="str">
        <f>'Lot 3'!$CO$11</f>
        <v>-</v>
      </c>
      <c r="E3" s="143" t="str">
        <f>'Lot 4'!$CO$11</f>
        <v>-</v>
      </c>
      <c r="F3" s="143" t="str">
        <f>'Lot 5'!$CO$11</f>
        <v>-</v>
      </c>
      <c r="G3" s="144" t="str">
        <f>IFERROR(AVERAGE(B3:F3),"-")</f>
        <v>-</v>
      </c>
      <c r="I3" s="57" t="s">
        <v>378</v>
      </c>
      <c r="J3" s="147" t="str">
        <f>'Lot 1'!$V$15</f>
        <v>-</v>
      </c>
      <c r="K3" s="147" t="str">
        <f>'Lot 2'!$V$15</f>
        <v>-</v>
      </c>
      <c r="L3" s="147" t="str">
        <f>'Lot 3'!$V$15</f>
        <v>-</v>
      </c>
      <c r="M3" s="147" t="str">
        <f>'Lot 4'!$V$15</f>
        <v>-</v>
      </c>
      <c r="N3" s="148" t="str">
        <f>'Lot 5'!$V$15</f>
        <v>-</v>
      </c>
    </row>
    <row r="4" spans="1:14" customFormat="1" ht="15.75" x14ac:dyDescent="0.25">
      <c r="A4" s="57" t="s">
        <v>255</v>
      </c>
      <c r="B4" s="143">
        <f>'Lot 1'!CO12</f>
        <v>0</v>
      </c>
      <c r="C4" s="143">
        <f>'Lot 2'!CP12</f>
        <v>0</v>
      </c>
      <c r="D4" s="143">
        <f>'Lot 3'!CQ12</f>
        <v>0</v>
      </c>
      <c r="E4" s="143">
        <f>'Lot 4'!CR12</f>
        <v>0</v>
      </c>
      <c r="F4" s="143">
        <f>'Lot 5'!CS12</f>
        <v>0</v>
      </c>
      <c r="G4" s="144">
        <f t="shared" ref="G4:G15" si="0">IFERROR(AVERAGE(B4:F4),"-")</f>
        <v>0</v>
      </c>
      <c r="I4" s="57" t="s">
        <v>379</v>
      </c>
      <c r="J4" s="147">
        <f>'Lot 1'!$W$15</f>
        <v>0</v>
      </c>
      <c r="K4" s="147">
        <f>'Lot 2'!$W$15</f>
        <v>0</v>
      </c>
      <c r="L4" s="147">
        <f>'Lot 3'!$W$15</f>
        <v>0</v>
      </c>
      <c r="M4" s="147">
        <f>'Lot 4'!$W$15</f>
        <v>0</v>
      </c>
      <c r="N4" s="148">
        <f>'Lot 5'!$W$15</f>
        <v>0</v>
      </c>
    </row>
    <row r="5" spans="1:14" customFormat="1" ht="15.75" x14ac:dyDescent="0.25">
      <c r="A5" s="57" t="s">
        <v>254</v>
      </c>
      <c r="B5" s="143" t="str">
        <f>'Lot 1'!CO13</f>
        <v>-</v>
      </c>
      <c r="C5" s="143">
        <f>'Lot 2'!CP13</f>
        <v>0</v>
      </c>
      <c r="D5" s="143">
        <f>'Lot 3'!CQ13</f>
        <v>0</v>
      </c>
      <c r="E5" s="143">
        <f>'Lot 4'!CR13</f>
        <v>0</v>
      </c>
      <c r="F5" s="143">
        <f>'Lot 5'!CS13</f>
        <v>0</v>
      </c>
      <c r="G5" s="144">
        <f t="shared" si="0"/>
        <v>0</v>
      </c>
      <c r="I5" s="57" t="s">
        <v>381</v>
      </c>
      <c r="J5" s="147" t="str">
        <f>IFERROR(J3*J4/100,"-")</f>
        <v>-</v>
      </c>
      <c r="K5" s="147" t="str">
        <f t="shared" ref="K5:N5" si="1">IFERROR(K3*K4/100,"-")</f>
        <v>-</v>
      </c>
      <c r="L5" s="147" t="str">
        <f t="shared" si="1"/>
        <v>-</v>
      </c>
      <c r="M5" s="147" t="str">
        <f t="shared" si="1"/>
        <v>-</v>
      </c>
      <c r="N5" s="148" t="str">
        <f t="shared" si="1"/>
        <v>-</v>
      </c>
    </row>
    <row r="6" spans="1:14" customFormat="1" ht="15.75" x14ac:dyDescent="0.25">
      <c r="A6" s="57" t="s">
        <v>257</v>
      </c>
      <c r="B6" s="143">
        <f>'Lot 1'!CO14</f>
        <v>0</v>
      </c>
      <c r="C6" s="143">
        <f>'Lot 2'!CP14</f>
        <v>0</v>
      </c>
      <c r="D6" s="143">
        <f>'Lot 3'!CQ14</f>
        <v>0</v>
      </c>
      <c r="E6" s="143">
        <f>'Lot 4'!CR14</f>
        <v>0</v>
      </c>
      <c r="F6" s="143">
        <f>'Lot 5'!CS14</f>
        <v>0</v>
      </c>
      <c r="G6" s="144">
        <f t="shared" si="0"/>
        <v>0</v>
      </c>
      <c r="I6" s="57" t="s">
        <v>122</v>
      </c>
      <c r="J6" s="147" t="str">
        <f>B10</f>
        <v>-</v>
      </c>
      <c r="K6" s="147">
        <f t="shared" ref="K6:N6" si="2">C10</f>
        <v>0</v>
      </c>
      <c r="L6" s="147">
        <f t="shared" si="2"/>
        <v>0</v>
      </c>
      <c r="M6" s="147">
        <f t="shared" si="2"/>
        <v>0</v>
      </c>
      <c r="N6" s="148">
        <f t="shared" si="2"/>
        <v>0</v>
      </c>
    </row>
    <row r="7" spans="1:14" customFormat="1" ht="15.75" x14ac:dyDescent="0.25">
      <c r="A7" s="57" t="s">
        <v>207</v>
      </c>
      <c r="B7" s="143" t="str">
        <f>'Lot 1'!CO15</f>
        <v>-</v>
      </c>
      <c r="C7" s="143">
        <f>'Lot 2'!CP15</f>
        <v>0</v>
      </c>
      <c r="D7" s="143">
        <f>'Lot 3'!CQ15</f>
        <v>0</v>
      </c>
      <c r="E7" s="143">
        <f>'Lot 4'!CR15</f>
        <v>0</v>
      </c>
      <c r="F7" s="143">
        <f>'Lot 5'!CS15</f>
        <v>0</v>
      </c>
      <c r="G7" s="144">
        <f t="shared" si="0"/>
        <v>0</v>
      </c>
      <c r="I7" s="57" t="s">
        <v>382</v>
      </c>
      <c r="J7" s="147" t="str">
        <f>IFERROR('Lot 1'!$EB$16+'Lot 1'!$EB$17,"-")</f>
        <v>-</v>
      </c>
      <c r="K7" s="147" t="str">
        <f>IFERROR('Lot 2'!$EB$16+'Lot 2'!$EB$17,"-")</f>
        <v>-</v>
      </c>
      <c r="L7" s="147" t="str">
        <f>IFERROR('Lot 3'!$EB$16+'Lot 3'!$EB$17,"-")</f>
        <v>-</v>
      </c>
      <c r="M7" s="147" t="str">
        <f>IFERROR('Lot 4'!$EB$16+'Lot 4'!$EB$17,"-")</f>
        <v>-</v>
      </c>
      <c r="N7" s="148" t="str">
        <f>IFERROR('Lot 5'!$EB$16+'Lot 5'!$EB$17,"-")</f>
        <v>-</v>
      </c>
    </row>
    <row r="8" spans="1:14" customFormat="1" ht="15.75" x14ac:dyDescent="0.25">
      <c r="A8" s="57" t="s">
        <v>256</v>
      </c>
      <c r="B8" s="143" t="str">
        <f>'Lot 1'!CO16</f>
        <v>-</v>
      </c>
      <c r="C8" s="143">
        <f>'Lot 2'!CP16</f>
        <v>0</v>
      </c>
      <c r="D8" s="143">
        <f>'Lot 3'!CQ16</f>
        <v>0</v>
      </c>
      <c r="E8" s="143">
        <f>'Lot 4'!CR16</f>
        <v>0</v>
      </c>
      <c r="F8" s="143">
        <f>'Lot 5'!CS16</f>
        <v>0</v>
      </c>
      <c r="G8" s="144">
        <f t="shared" si="0"/>
        <v>0</v>
      </c>
      <c r="I8" s="57" t="s">
        <v>239</v>
      </c>
      <c r="J8" s="147">
        <f>'Lot 1'!EB18</f>
        <v>0</v>
      </c>
      <c r="K8" s="147">
        <f>'Lot 2'!EC18</f>
        <v>0</v>
      </c>
      <c r="L8" s="147">
        <f>'Lot 3'!ED18</f>
        <v>0</v>
      </c>
      <c r="M8" s="147">
        <f>'Lot 4'!EE18</f>
        <v>0</v>
      </c>
      <c r="N8" s="148">
        <f>'Lot 5'!EF18</f>
        <v>0</v>
      </c>
    </row>
    <row r="9" spans="1:14" customFormat="1" ht="15.75" x14ac:dyDescent="0.25">
      <c r="A9" s="57" t="s">
        <v>233</v>
      </c>
      <c r="B9" s="143" t="str">
        <f>'Lot 1'!CO17</f>
        <v>-</v>
      </c>
      <c r="C9" s="143">
        <f>'Lot 2'!CP17</f>
        <v>0</v>
      </c>
      <c r="D9" s="143">
        <f>'Lot 3'!CQ17</f>
        <v>0</v>
      </c>
      <c r="E9" s="143">
        <f>'Lot 4'!CR17</f>
        <v>0</v>
      </c>
      <c r="F9" s="143">
        <f>'Lot 5'!CS17</f>
        <v>0</v>
      </c>
      <c r="G9" s="144">
        <f t="shared" si="0"/>
        <v>0</v>
      </c>
      <c r="I9" s="57" t="s">
        <v>383</v>
      </c>
      <c r="J9" s="147" t="str">
        <f>IFERROR('Lot 1'!EB19+'Lot 1'!EB20,"-")</f>
        <v>-</v>
      </c>
      <c r="K9" s="147">
        <f>IFERROR('Lot 2'!EC19+'Lot 2'!EC20,"-")</f>
        <v>0</v>
      </c>
      <c r="L9" s="147">
        <f>IFERROR('Lot 3'!ED19+'Lot 3'!ED20,"-")</f>
        <v>0</v>
      </c>
      <c r="M9" s="147">
        <f>IFERROR('Lot 4'!EE19+'Lot 4'!EE20,"-")</f>
        <v>0</v>
      </c>
      <c r="N9" s="148">
        <f>IFERROR('Lot 5'!EF19+'Lot 5'!EF20,"-")</f>
        <v>0</v>
      </c>
    </row>
    <row r="10" spans="1:14" customFormat="1" ht="15.75" x14ac:dyDescent="0.25">
      <c r="A10" s="58" t="s">
        <v>59</v>
      </c>
      <c r="B10" s="143" t="str">
        <f>'Lot 1'!CO18</f>
        <v>-</v>
      </c>
      <c r="C10" s="143">
        <f>'Lot 2'!CP18</f>
        <v>0</v>
      </c>
      <c r="D10" s="143">
        <f>'Lot 3'!CQ18</f>
        <v>0</v>
      </c>
      <c r="E10" s="143">
        <f>'Lot 4'!CR18</f>
        <v>0</v>
      </c>
      <c r="F10" s="143">
        <f>'Lot 5'!CS18</f>
        <v>0</v>
      </c>
      <c r="G10" s="144">
        <f t="shared" si="0"/>
        <v>0</v>
      </c>
      <c r="I10" s="58" t="s">
        <v>192</v>
      </c>
      <c r="J10" s="147">
        <f>'Lot 1'!$EB$21</f>
        <v>0</v>
      </c>
      <c r="K10" s="147">
        <f>'Lot 2'!$EB$21</f>
        <v>0</v>
      </c>
      <c r="L10" s="147">
        <f>'Lot 3'!$EB$21</f>
        <v>0</v>
      </c>
      <c r="M10" s="147">
        <f>'Lot 4'!$EB$21</f>
        <v>0</v>
      </c>
      <c r="N10" s="148">
        <f>'Lot 5'!$EB$21</f>
        <v>0</v>
      </c>
    </row>
    <row r="11" spans="1:14" customFormat="1" ht="15.75" x14ac:dyDescent="0.25">
      <c r="A11" s="58" t="s">
        <v>38</v>
      </c>
      <c r="B11" s="143" t="str">
        <f>'Lot 1'!CO19</f>
        <v>-</v>
      </c>
      <c r="C11" s="143">
        <f>'Lot 2'!CP19</f>
        <v>0</v>
      </c>
      <c r="D11" s="143">
        <f>'Lot 3'!CQ19</f>
        <v>0</v>
      </c>
      <c r="E11" s="143">
        <f>'Lot 4'!CR19</f>
        <v>0</v>
      </c>
      <c r="F11" s="143">
        <f>'Lot 5'!CS19</f>
        <v>0</v>
      </c>
      <c r="G11" s="144">
        <f t="shared" si="0"/>
        <v>0</v>
      </c>
      <c r="I11" s="58" t="s">
        <v>384</v>
      </c>
      <c r="J11" s="147">
        <f>'Lot 1'!$EB$22</f>
        <v>0</v>
      </c>
      <c r="K11" s="147">
        <f>'Lot 2'!$EB$22</f>
        <v>0</v>
      </c>
      <c r="L11" s="147">
        <f>'Lot 3'!$EB$22</f>
        <v>0</v>
      </c>
      <c r="M11" s="147">
        <f>'Lot 4'!$EB$22</f>
        <v>0</v>
      </c>
      <c r="N11" s="148">
        <f>'Lot 5'!$EB$22</f>
        <v>0</v>
      </c>
    </row>
    <row r="12" spans="1:14" customFormat="1" ht="15.75" x14ac:dyDescent="0.25">
      <c r="A12" s="58" t="s">
        <v>37</v>
      </c>
      <c r="B12" s="143">
        <f>'Lot 1'!CO20</f>
        <v>0</v>
      </c>
      <c r="C12" s="143">
        <f>'Lot 2'!CP20</f>
        <v>0</v>
      </c>
      <c r="D12" s="143">
        <f>'Lot 3'!CQ20</f>
        <v>0</v>
      </c>
      <c r="E12" s="143">
        <f>'Lot 4'!CR20</f>
        <v>0</v>
      </c>
      <c r="F12" s="143">
        <f>'Lot 5'!CS20</f>
        <v>0</v>
      </c>
      <c r="G12" s="144">
        <f t="shared" si="0"/>
        <v>0</v>
      </c>
      <c r="I12" s="139" t="s">
        <v>240</v>
      </c>
      <c r="J12" s="151">
        <f>'Lot 1'!$EB$23</f>
        <v>0</v>
      </c>
      <c r="K12" s="151">
        <f>'Lot 2'!$EB$23</f>
        <v>0</v>
      </c>
      <c r="L12" s="151">
        <f>'Lot 3'!$EB$23</f>
        <v>0</v>
      </c>
      <c r="M12" s="151">
        <f>'Lot 4'!$EB$23</f>
        <v>0</v>
      </c>
      <c r="N12" s="152">
        <f>'Lot 5'!$EB$23</f>
        <v>0</v>
      </c>
    </row>
    <row r="13" spans="1:14" customFormat="1" ht="15.75" x14ac:dyDescent="0.25">
      <c r="A13" s="58" t="s">
        <v>225</v>
      </c>
      <c r="B13" s="143">
        <f>'Lot 1'!CO21</f>
        <v>0</v>
      </c>
      <c r="C13" s="143">
        <f>'Lot 2'!CP21</f>
        <v>0</v>
      </c>
      <c r="D13" s="143">
        <f>'Lot 3'!CQ21</f>
        <v>0</v>
      </c>
      <c r="E13" s="143">
        <f>'Lot 4'!CR21</f>
        <v>0</v>
      </c>
      <c r="F13" s="143">
        <f>'Lot 5'!CS21</f>
        <v>0</v>
      </c>
      <c r="G13" s="144">
        <f t="shared" si="0"/>
        <v>0</v>
      </c>
      <c r="I13" s="140" t="s">
        <v>385</v>
      </c>
      <c r="J13" s="153">
        <f>SUM(J5:J12)</f>
        <v>0</v>
      </c>
      <c r="K13" s="153">
        <f t="shared" ref="K13:N13" si="3">SUM(K5:K12)</f>
        <v>0</v>
      </c>
      <c r="L13" s="153">
        <f t="shared" si="3"/>
        <v>0</v>
      </c>
      <c r="M13" s="153">
        <f t="shared" si="3"/>
        <v>0</v>
      </c>
      <c r="N13" s="154">
        <f t="shared" si="3"/>
        <v>0</v>
      </c>
    </row>
    <row r="14" spans="1:14" customFormat="1" ht="15.75" x14ac:dyDescent="0.25">
      <c r="A14" s="57" t="s">
        <v>222</v>
      </c>
      <c r="B14" s="143">
        <f>'Lot 1'!CO22</f>
        <v>0</v>
      </c>
      <c r="C14" s="143">
        <f>'Lot 2'!CP22</f>
        <v>0</v>
      </c>
      <c r="D14" s="143">
        <f>'Lot 3'!CQ22</f>
        <v>0</v>
      </c>
      <c r="E14" s="143">
        <f>'Lot 4'!CR22</f>
        <v>0</v>
      </c>
      <c r="F14" s="143">
        <f>'Lot 5'!CS22</f>
        <v>0</v>
      </c>
      <c r="G14" s="144">
        <f t="shared" si="0"/>
        <v>0</v>
      </c>
      <c r="I14" s="58" t="s">
        <v>386</v>
      </c>
      <c r="J14" s="147" t="str">
        <f>'Lot 1'!$AB$15</f>
        <v>-</v>
      </c>
      <c r="K14" s="147" t="str">
        <f>'Lot 2'!$AB$15</f>
        <v>-</v>
      </c>
      <c r="L14" s="147" t="str">
        <f>'Lot 3'!$AB$15</f>
        <v>-</v>
      </c>
      <c r="M14" s="147" t="str">
        <f>'Lot 4'!$AB$15</f>
        <v>-</v>
      </c>
      <c r="N14" s="148" t="str">
        <f>'Lot 5'!$AB$15</f>
        <v>-</v>
      </c>
    </row>
    <row r="15" spans="1:14" customFormat="1" ht="16.5" thickBot="1" x14ac:dyDescent="0.3">
      <c r="A15" s="59" t="s">
        <v>230</v>
      </c>
      <c r="B15" s="145">
        <f>'Lot 1'!CO23</f>
        <v>0</v>
      </c>
      <c r="C15" s="145">
        <f>'Lot 2'!CP23</f>
        <v>0</v>
      </c>
      <c r="D15" s="145">
        <f>'Lot 3'!CQ23</f>
        <v>0</v>
      </c>
      <c r="E15" s="145">
        <f>'Lot 4'!CR23</f>
        <v>0</v>
      </c>
      <c r="F15" s="145">
        <f>'Lot 5'!CS23</f>
        <v>0</v>
      </c>
      <c r="G15" s="146">
        <f t="shared" si="0"/>
        <v>0</v>
      </c>
      <c r="I15" s="58" t="s">
        <v>387</v>
      </c>
      <c r="J15" s="147">
        <f>'Lot 1'!$AC$15</f>
        <v>0</v>
      </c>
      <c r="K15" s="147">
        <f>'Lot 2'!$AC$15</f>
        <v>0</v>
      </c>
      <c r="L15" s="147">
        <f>'Lot 3'!$AC$15</f>
        <v>0</v>
      </c>
      <c r="M15" s="147">
        <f>'Lot 4'!$AC$15</f>
        <v>0</v>
      </c>
      <c r="N15" s="148">
        <f>'Lot 5'!$AC$15</f>
        <v>0</v>
      </c>
    </row>
    <row r="16" spans="1:14" customFormat="1" ht="16.5" thickBot="1" x14ac:dyDescent="0.3">
      <c r="I16" s="57" t="s">
        <v>388</v>
      </c>
      <c r="J16" s="147" t="str">
        <f>IFERROR(J14*J15/100,"-")</f>
        <v>-</v>
      </c>
      <c r="K16" s="147" t="str">
        <f t="shared" ref="K16:N16" si="4">IFERROR(K14*K15/100,"-")</f>
        <v>-</v>
      </c>
      <c r="L16" s="147" t="str">
        <f t="shared" si="4"/>
        <v>-</v>
      </c>
      <c r="M16" s="147" t="str">
        <f t="shared" si="4"/>
        <v>-</v>
      </c>
      <c r="N16" s="148" t="str">
        <f t="shared" si="4"/>
        <v>-</v>
      </c>
    </row>
    <row r="17" spans="1:15" ht="23.25" x14ac:dyDescent="0.25">
      <c r="A17" s="640" t="s">
        <v>392</v>
      </c>
      <c r="B17" s="641"/>
      <c r="C17" s="641"/>
      <c r="D17" s="641"/>
      <c r="E17" s="641"/>
      <c r="F17" s="641"/>
      <c r="G17" s="642"/>
      <c r="I17" s="57" t="s">
        <v>391</v>
      </c>
      <c r="J17" s="147" t="str">
        <f>IFERROR('Lot 1'!$EB$7+'Lot 1'!$EB$8,"-")</f>
        <v>-</v>
      </c>
      <c r="K17" s="147" t="str">
        <f>IFERROR('Lot 2'!$EB$7+'Lot 2'!$EB$8,"-")</f>
        <v>-</v>
      </c>
      <c r="L17" s="147" t="str">
        <f>IFERROR('Lot 3'!$EB$7+'Lot 3'!$EB$8,"-")</f>
        <v>-</v>
      </c>
      <c r="M17" s="147" t="str">
        <f>IFERROR('Lot 4'!$EB$7+'Lot 4'!$EB$8,"-")</f>
        <v>-</v>
      </c>
      <c r="N17" s="148" t="str">
        <f>IFERROR('Lot 5'!$EB$7+'Lot 5'!$EB$8,"-")</f>
        <v>-</v>
      </c>
      <c r="O17"/>
    </row>
    <row r="18" spans="1:15" ht="23.25" x14ac:dyDescent="0.3">
      <c r="A18" s="136"/>
      <c r="B18" s="137" t="s">
        <v>373</v>
      </c>
      <c r="C18" s="137" t="s">
        <v>374</v>
      </c>
      <c r="D18" s="137" t="s">
        <v>375</v>
      </c>
      <c r="E18" s="137" t="s">
        <v>376</v>
      </c>
      <c r="F18" s="137" t="s">
        <v>377</v>
      </c>
      <c r="G18" s="138" t="s">
        <v>138</v>
      </c>
      <c r="I18" s="57" t="s">
        <v>389</v>
      </c>
      <c r="J18" s="147" t="str">
        <f>'Lot 1'!$EB$9</f>
        <v>-</v>
      </c>
      <c r="K18" s="147" t="str">
        <f>'Lot 2'!$EB$9</f>
        <v>-</v>
      </c>
      <c r="L18" s="147" t="str">
        <f>'Lot 3'!$EB$9</f>
        <v>-</v>
      </c>
      <c r="M18" s="147" t="str">
        <f>'Lot 4'!$EB$9</f>
        <v>-</v>
      </c>
      <c r="N18" s="148" t="str">
        <f>'Lot 5'!$EB$9</f>
        <v>-</v>
      </c>
      <c r="O18"/>
    </row>
    <row r="19" spans="1:15" ht="15.75" x14ac:dyDescent="0.25">
      <c r="A19" s="57" t="s">
        <v>269</v>
      </c>
      <c r="B19" s="147" t="str">
        <f>'Lot 1'!$EL5</f>
        <v>-</v>
      </c>
      <c r="C19" s="147" t="str">
        <f>'Lot 2'!$EL5</f>
        <v>-</v>
      </c>
      <c r="D19" s="147" t="str">
        <f>'Lot 3'!$EL5</f>
        <v>-</v>
      </c>
      <c r="E19" s="147" t="str">
        <f>'Lot 4'!$EL5</f>
        <v>-</v>
      </c>
      <c r="F19" s="147" t="str">
        <f>'Lot 5'!$EL5</f>
        <v>-</v>
      </c>
      <c r="G19" s="148" t="str">
        <f>IFERROR(AVERAGE(B19:F19),"-")</f>
        <v>-</v>
      </c>
      <c r="I19" s="142" t="s">
        <v>390</v>
      </c>
      <c r="J19" s="151">
        <f>'Lot 1'!$EB$10</f>
        <v>0</v>
      </c>
      <c r="K19" s="151">
        <f>'Lot 2'!$EB$10</f>
        <v>0</v>
      </c>
      <c r="L19" s="151">
        <f>'Lot 3'!$EB$10</f>
        <v>0</v>
      </c>
      <c r="M19" s="151">
        <f>'Lot 4'!$EB$10</f>
        <v>0</v>
      </c>
      <c r="N19" s="152">
        <f>'Lot 5'!$EB$10</f>
        <v>0</v>
      </c>
      <c r="O19"/>
    </row>
    <row r="20" spans="1:15" ht="16.5" thickBot="1" x14ac:dyDescent="0.3">
      <c r="A20" s="57" t="s">
        <v>270</v>
      </c>
      <c r="B20" s="147" t="str">
        <f>'Lot 1'!$EL6</f>
        <v>-</v>
      </c>
      <c r="C20" s="147" t="str">
        <f>'Lot 2'!$EL6</f>
        <v>-</v>
      </c>
      <c r="D20" s="147" t="str">
        <f>'Lot 3'!$EL6</f>
        <v>-</v>
      </c>
      <c r="E20" s="147" t="str">
        <f>'Lot 4'!$EL6</f>
        <v>-</v>
      </c>
      <c r="F20" s="147" t="str">
        <f>'Lot 5'!$EL6</f>
        <v>-</v>
      </c>
      <c r="G20" s="148" t="str">
        <f t="shared" ref="G20:G31" si="5">IFERROR(AVERAGE(B20:F20),"-")</f>
        <v>-</v>
      </c>
      <c r="I20" s="141" t="s">
        <v>372</v>
      </c>
      <c r="J20" s="149">
        <f>J19-J13</f>
        <v>0</v>
      </c>
      <c r="K20" s="149">
        <f t="shared" ref="K20:N20" si="6">K19-K13</f>
        <v>0</v>
      </c>
      <c r="L20" s="149">
        <f t="shared" si="6"/>
        <v>0</v>
      </c>
      <c r="M20" s="149">
        <f t="shared" si="6"/>
        <v>0</v>
      </c>
      <c r="N20" s="150">
        <f t="shared" si="6"/>
        <v>0</v>
      </c>
      <c r="O20"/>
    </row>
    <row r="21" spans="1:15" ht="15.75" x14ac:dyDescent="0.25">
      <c r="A21" s="57" t="s">
        <v>271</v>
      </c>
      <c r="B21" s="147">
        <f>'Lot 1'!$EL7</f>
        <v>0</v>
      </c>
      <c r="C21" s="147">
        <f>'Lot 2'!$EL7</f>
        <v>0</v>
      </c>
      <c r="D21" s="147">
        <f>'Lot 3'!$EL7</f>
        <v>0</v>
      </c>
      <c r="E21" s="147">
        <f>'Lot 4'!$EL7</f>
        <v>0</v>
      </c>
      <c r="F21" s="147">
        <f>'Lot 5'!$EL7</f>
        <v>0</v>
      </c>
      <c r="G21" s="148">
        <f t="shared" si="5"/>
        <v>0</v>
      </c>
      <c r="I21"/>
      <c r="J21"/>
      <c r="K21"/>
      <c r="L21"/>
      <c r="M21"/>
      <c r="N21"/>
      <c r="O21"/>
    </row>
    <row r="22" spans="1:15" ht="15.75" x14ac:dyDescent="0.25">
      <c r="A22" s="57" t="s">
        <v>266</v>
      </c>
      <c r="B22" s="147">
        <f>'Lot 1'!$EL8</f>
        <v>0</v>
      </c>
      <c r="C22" s="147">
        <f>'Lot 2'!$EL8</f>
        <v>0</v>
      </c>
      <c r="D22" s="147">
        <f>'Lot 3'!$EL8</f>
        <v>0</v>
      </c>
      <c r="E22" s="147">
        <f>'Lot 4'!$EL8</f>
        <v>0</v>
      </c>
      <c r="F22" s="147">
        <f>'Lot 5'!$EL8</f>
        <v>0</v>
      </c>
      <c r="G22" s="148">
        <f t="shared" si="5"/>
        <v>0</v>
      </c>
      <c r="I22"/>
      <c r="J22"/>
      <c r="K22"/>
      <c r="L22"/>
      <c r="M22"/>
      <c r="N22"/>
      <c r="O22"/>
    </row>
    <row r="23" spans="1:15" ht="15.75" x14ac:dyDescent="0.25">
      <c r="A23" s="57" t="s">
        <v>267</v>
      </c>
      <c r="B23" s="147">
        <f>'Lot 1'!$EL9</f>
        <v>0</v>
      </c>
      <c r="C23" s="147">
        <f>'Lot 2'!$EL9</f>
        <v>0</v>
      </c>
      <c r="D23" s="147">
        <f>'Lot 3'!$EL9</f>
        <v>0</v>
      </c>
      <c r="E23" s="147">
        <f>'Lot 4'!$EL9</f>
        <v>0</v>
      </c>
      <c r="F23" s="147">
        <f>'Lot 5'!$EL9</f>
        <v>0</v>
      </c>
      <c r="G23" s="148">
        <f t="shared" si="5"/>
        <v>0</v>
      </c>
      <c r="I23"/>
      <c r="J23"/>
      <c r="K23"/>
      <c r="L23"/>
      <c r="M23"/>
      <c r="N23"/>
    </row>
    <row r="24" spans="1:15" ht="15.75" x14ac:dyDescent="0.25">
      <c r="A24" s="57" t="s">
        <v>268</v>
      </c>
      <c r="B24" s="147">
        <f>'Lot 1'!$EL10</f>
        <v>0</v>
      </c>
      <c r="C24" s="147">
        <f>'Lot 2'!$EL10</f>
        <v>0</v>
      </c>
      <c r="D24" s="147">
        <f>'Lot 3'!$EL10</f>
        <v>0</v>
      </c>
      <c r="E24" s="147">
        <f>'Lot 4'!$EL10</f>
        <v>0</v>
      </c>
      <c r="F24" s="147">
        <f>'Lot 5'!$EL10</f>
        <v>0</v>
      </c>
      <c r="G24" s="148">
        <f t="shared" si="5"/>
        <v>0</v>
      </c>
      <c r="I24"/>
      <c r="J24"/>
      <c r="K24"/>
      <c r="L24"/>
      <c r="M24"/>
      <c r="N24"/>
    </row>
    <row r="25" spans="1:15" ht="15.75" x14ac:dyDescent="0.25">
      <c r="A25" s="58" t="s">
        <v>265</v>
      </c>
      <c r="B25" s="147">
        <f>'Lot 1'!$EL11</f>
        <v>0</v>
      </c>
      <c r="C25" s="147">
        <f>'Lot 2'!$EL11</f>
        <v>0</v>
      </c>
      <c r="D25" s="147">
        <f>'Lot 3'!$EL11</f>
        <v>0</v>
      </c>
      <c r="E25" s="147">
        <f>'Lot 4'!$EL11</f>
        <v>0</v>
      </c>
      <c r="F25" s="147">
        <f>'Lot 5'!$EL11</f>
        <v>0</v>
      </c>
      <c r="G25" s="148">
        <f t="shared" si="5"/>
        <v>0</v>
      </c>
      <c r="I25"/>
      <c r="J25"/>
      <c r="K25"/>
      <c r="L25"/>
      <c r="M25"/>
      <c r="N25"/>
    </row>
    <row r="26" spans="1:15" ht="15.75" x14ac:dyDescent="0.25">
      <c r="A26" s="58" t="s">
        <v>259</v>
      </c>
      <c r="B26" s="147">
        <f>'Lot 1'!$EL12</f>
        <v>0</v>
      </c>
      <c r="C26" s="147">
        <f>'Lot 2'!$EL12</f>
        <v>0</v>
      </c>
      <c r="D26" s="147">
        <f>'Lot 3'!$EL12</f>
        <v>0</v>
      </c>
      <c r="E26" s="147">
        <f>'Lot 4'!$EL12</f>
        <v>0</v>
      </c>
      <c r="F26" s="147">
        <f>'Lot 5'!$EL12</f>
        <v>0</v>
      </c>
      <c r="G26" s="148">
        <f t="shared" si="5"/>
        <v>0</v>
      </c>
      <c r="I26"/>
      <c r="J26"/>
      <c r="K26"/>
      <c r="L26"/>
      <c r="M26"/>
      <c r="N26"/>
    </row>
    <row r="27" spans="1:15" ht="15.75" x14ac:dyDescent="0.25">
      <c r="A27" s="58" t="s">
        <v>128</v>
      </c>
      <c r="B27" s="147">
        <f>'Lot 1'!$EL13</f>
        <v>0</v>
      </c>
      <c r="C27" s="147">
        <f>'Lot 2'!$EL13</f>
        <v>0</v>
      </c>
      <c r="D27" s="147">
        <f>'Lot 3'!$EL13</f>
        <v>0</v>
      </c>
      <c r="E27" s="147">
        <f>'Lot 4'!$EL13</f>
        <v>0</v>
      </c>
      <c r="F27" s="147">
        <f>'Lot 5'!$EL13</f>
        <v>0</v>
      </c>
      <c r="G27" s="148">
        <f t="shared" si="5"/>
        <v>0</v>
      </c>
      <c r="I27"/>
      <c r="J27"/>
      <c r="K27"/>
      <c r="L27"/>
      <c r="M27"/>
      <c r="N27"/>
    </row>
    <row r="28" spans="1:15" ht="15.75" x14ac:dyDescent="0.25">
      <c r="A28" s="58" t="s">
        <v>260</v>
      </c>
      <c r="B28" s="147">
        <f>'Lot 1'!$EL14</f>
        <v>0</v>
      </c>
      <c r="C28" s="147">
        <f>'Lot 2'!$EL14</f>
        <v>0</v>
      </c>
      <c r="D28" s="147">
        <f>'Lot 3'!$EL14</f>
        <v>0</v>
      </c>
      <c r="E28" s="147">
        <f>'Lot 4'!$EL14</f>
        <v>0</v>
      </c>
      <c r="F28" s="147">
        <f>'Lot 5'!$EL14</f>
        <v>0</v>
      </c>
      <c r="G28" s="148">
        <f t="shared" si="5"/>
        <v>0</v>
      </c>
      <c r="I28"/>
      <c r="J28"/>
      <c r="K28"/>
      <c r="L28"/>
      <c r="M28"/>
      <c r="N28"/>
    </row>
    <row r="29" spans="1:15" ht="15.75" x14ac:dyDescent="0.25">
      <c r="A29" s="58" t="s">
        <v>353</v>
      </c>
      <c r="B29" s="147">
        <f>'Lot 1'!$EL15</f>
        <v>0</v>
      </c>
      <c r="C29" s="147">
        <f>'Lot 2'!$EL15</f>
        <v>0</v>
      </c>
      <c r="D29" s="147">
        <f>'Lot 3'!$EL15</f>
        <v>0</v>
      </c>
      <c r="E29" s="147">
        <f>'Lot 4'!$EL15</f>
        <v>0</v>
      </c>
      <c r="F29" s="147">
        <f>'Lot 5'!$EL15</f>
        <v>0</v>
      </c>
      <c r="G29" s="148">
        <f t="shared" si="5"/>
        <v>0</v>
      </c>
      <c r="I29"/>
      <c r="J29"/>
      <c r="K29"/>
      <c r="L29"/>
      <c r="M29"/>
      <c r="N29"/>
    </row>
    <row r="30" spans="1:15" ht="15.75" x14ac:dyDescent="0.25">
      <c r="A30" s="58" t="s">
        <v>352</v>
      </c>
      <c r="B30" s="147">
        <f>'Lot 1'!$EL16</f>
        <v>0</v>
      </c>
      <c r="C30" s="147">
        <f>'Lot 2'!$EL16</f>
        <v>0</v>
      </c>
      <c r="D30" s="147">
        <f>'Lot 3'!$EL16</f>
        <v>0</v>
      </c>
      <c r="E30" s="147">
        <f>'Lot 4'!$EL16</f>
        <v>0</v>
      </c>
      <c r="F30" s="147">
        <f>'Lot 5'!$EL16</f>
        <v>0</v>
      </c>
      <c r="G30" s="148">
        <f t="shared" si="5"/>
        <v>0</v>
      </c>
      <c r="I30"/>
      <c r="J30"/>
      <c r="K30"/>
      <c r="L30"/>
      <c r="M30"/>
      <c r="N30"/>
    </row>
    <row r="31" spans="1:15" ht="16.5" thickBot="1" x14ac:dyDescent="0.3">
      <c r="A31" s="59" t="s">
        <v>261</v>
      </c>
      <c r="B31" s="525">
        <f>'Lot 1'!$EL17</f>
        <v>0</v>
      </c>
      <c r="C31" s="525">
        <f>'Lot 2'!$EL17</f>
        <v>0</v>
      </c>
      <c r="D31" s="525">
        <f>'Lot 3'!$EL17</f>
        <v>0</v>
      </c>
      <c r="E31" s="525">
        <f>'Lot 4'!$EL17</f>
        <v>0</v>
      </c>
      <c r="F31" s="525">
        <f>'Lot 5'!$EL17</f>
        <v>0</v>
      </c>
      <c r="G31" s="526">
        <f t="shared" si="5"/>
        <v>0</v>
      </c>
      <c r="I31"/>
      <c r="J31"/>
      <c r="K31"/>
      <c r="L31"/>
      <c r="M31"/>
      <c r="N31"/>
    </row>
    <row r="32" spans="1:15" x14ac:dyDescent="0.25">
      <c r="I32"/>
      <c r="J32"/>
      <c r="K32"/>
      <c r="L32"/>
      <c r="M32"/>
      <c r="N32"/>
    </row>
    <row r="33" spans="9:14" x14ac:dyDescent="0.25">
      <c r="I33"/>
      <c r="J33"/>
      <c r="K33"/>
      <c r="L33"/>
      <c r="M33"/>
      <c r="N33"/>
    </row>
  </sheetData>
  <sheetProtection sheet="1" objects="1" scenarios="1"/>
  <mergeCells count="3">
    <mergeCell ref="A1:G1"/>
    <mergeCell ref="I1:N1"/>
    <mergeCell ref="A17:G17"/>
  </mergeCells>
  <phoneticPr fontId="25"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1:E6"/>
  <sheetViews>
    <sheetView workbookViewId="0"/>
  </sheetViews>
  <sheetFormatPr defaultRowHeight="15" x14ac:dyDescent="0.25"/>
  <sheetData>
    <row r="1" spans="3:5" x14ac:dyDescent="0.25">
      <c r="C1" t="s">
        <v>53</v>
      </c>
      <c r="D1" t="s">
        <v>48</v>
      </c>
      <c r="E1" t="s">
        <v>49</v>
      </c>
    </row>
    <row r="2" spans="3:5" x14ac:dyDescent="0.25">
      <c r="C2" t="s">
        <v>51</v>
      </c>
    </row>
    <row r="3" spans="3:5" x14ac:dyDescent="0.25">
      <c r="C3" t="s">
        <v>53</v>
      </c>
    </row>
    <row r="4" spans="3:5" x14ac:dyDescent="0.25">
      <c r="C4" t="s">
        <v>53</v>
      </c>
    </row>
    <row r="5" spans="3:5" x14ac:dyDescent="0.25">
      <c r="C5" t="s">
        <v>52</v>
      </c>
    </row>
    <row r="6" spans="3:5" x14ac:dyDescent="0.25">
      <c r="C6" t="s">
        <v>50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256B0-8380-42E7-A207-AF8EB2EA9FB2}">
  <dimension ref="A1:W20"/>
  <sheetViews>
    <sheetView workbookViewId="0"/>
  </sheetViews>
  <sheetFormatPr defaultRowHeight="15" x14ac:dyDescent="0.25"/>
  <cols>
    <col min="1" max="1" width="25" customWidth="1"/>
    <col min="6" max="6" width="16.5703125" bestFit="1" customWidth="1"/>
  </cols>
  <sheetData>
    <row r="1" spans="1:23" ht="15.75" thickBot="1" x14ac:dyDescent="0.3">
      <c r="G1">
        <v>1</v>
      </c>
      <c r="H1">
        <v>2</v>
      </c>
      <c r="I1">
        <v>3</v>
      </c>
      <c r="J1">
        <v>4</v>
      </c>
      <c r="K1">
        <v>5</v>
      </c>
      <c r="L1">
        <v>6</v>
      </c>
      <c r="M1">
        <v>7</v>
      </c>
      <c r="N1">
        <v>8</v>
      </c>
      <c r="O1">
        <v>9</v>
      </c>
      <c r="P1">
        <v>10</v>
      </c>
      <c r="Q1">
        <v>11</v>
      </c>
      <c r="R1">
        <v>12</v>
      </c>
    </row>
    <row r="2" spans="1:23" x14ac:dyDescent="0.25">
      <c r="B2" s="643"/>
      <c r="C2" s="643"/>
      <c r="F2" s="38" t="s">
        <v>143</v>
      </c>
      <c r="G2" s="39" t="s">
        <v>144</v>
      </c>
      <c r="H2" s="39" t="s">
        <v>145</v>
      </c>
      <c r="I2" s="39" t="s">
        <v>146</v>
      </c>
      <c r="J2" s="39" t="s">
        <v>147</v>
      </c>
      <c r="K2" s="39" t="s">
        <v>148</v>
      </c>
      <c r="L2" s="39" t="s">
        <v>149</v>
      </c>
      <c r="M2" s="39" t="s">
        <v>150</v>
      </c>
      <c r="N2" s="39" t="s">
        <v>151</v>
      </c>
      <c r="O2" s="39" t="s">
        <v>152</v>
      </c>
      <c r="P2" s="39" t="s">
        <v>153</v>
      </c>
      <c r="Q2" s="39" t="s">
        <v>154</v>
      </c>
      <c r="R2" s="40" t="s">
        <v>155</v>
      </c>
      <c r="T2" t="s">
        <v>174</v>
      </c>
      <c r="V2" t="s">
        <v>157</v>
      </c>
    </row>
    <row r="3" spans="1:23" x14ac:dyDescent="0.25">
      <c r="A3" t="s">
        <v>161</v>
      </c>
      <c r="B3" s="47">
        <f>Feed!K4</f>
        <v>2.5</v>
      </c>
      <c r="C3" t="s">
        <v>140</v>
      </c>
      <c r="E3" t="s">
        <v>141</v>
      </c>
      <c r="F3" s="29" t="s">
        <v>201</v>
      </c>
      <c r="G3" s="23" cm="1">
        <f t="array" ref="G3:R3">TRANSPOSE(Feed!L11:L22)</f>
        <v>0</v>
      </c>
      <c r="H3" s="24">
        <v>0</v>
      </c>
      <c r="I3" s="24">
        <v>0</v>
      </c>
      <c r="J3" s="24">
        <v>0.03</v>
      </c>
      <c r="K3" s="24">
        <v>0.15</v>
      </c>
      <c r="L3" s="24">
        <v>0.22</v>
      </c>
      <c r="M3" s="24">
        <v>0.22</v>
      </c>
      <c r="N3" s="24">
        <v>0.2</v>
      </c>
      <c r="O3" s="24">
        <v>0.13</v>
      </c>
      <c r="P3" s="24">
        <v>0.05</v>
      </c>
      <c r="Q3" s="24">
        <v>0</v>
      </c>
      <c r="R3" s="30">
        <v>0</v>
      </c>
      <c r="S3">
        <f>SUM(G3:R3)</f>
        <v>1</v>
      </c>
      <c r="T3">
        <f>COUNTIF(G3:R3,0)</f>
        <v>5</v>
      </c>
      <c r="V3" t="s">
        <v>158</v>
      </c>
      <c r="W3" t="s">
        <v>157</v>
      </c>
    </row>
    <row r="4" spans="1:23" x14ac:dyDescent="0.25">
      <c r="E4" t="s">
        <v>142</v>
      </c>
      <c r="F4" s="29" t="s">
        <v>184</v>
      </c>
      <c r="G4" s="25">
        <f>G3*$B$9</f>
        <v>0</v>
      </c>
      <c r="H4" s="18">
        <f t="shared" ref="H4:R4" si="0">H3*$B$9</f>
        <v>0</v>
      </c>
      <c r="I4" s="18">
        <f t="shared" si="0"/>
        <v>0</v>
      </c>
      <c r="J4" s="18">
        <f t="shared" si="0"/>
        <v>7.6923076923076927E-2</v>
      </c>
      <c r="K4" s="18">
        <f t="shared" si="0"/>
        <v>0.38461538461538464</v>
      </c>
      <c r="L4" s="18">
        <f t="shared" si="0"/>
        <v>0.56410256410256421</v>
      </c>
      <c r="M4" s="18">
        <f t="shared" si="0"/>
        <v>0.56410256410256421</v>
      </c>
      <c r="N4" s="18">
        <f t="shared" si="0"/>
        <v>0.51282051282051289</v>
      </c>
      <c r="O4" s="18">
        <f t="shared" si="0"/>
        <v>0.33333333333333337</v>
      </c>
      <c r="P4" s="18">
        <f t="shared" si="0"/>
        <v>0.12820512820512822</v>
      </c>
      <c r="Q4" s="18">
        <f t="shared" si="0"/>
        <v>0</v>
      </c>
      <c r="R4" s="31">
        <f t="shared" si="0"/>
        <v>0</v>
      </c>
      <c r="V4" s="17" t="s">
        <v>165</v>
      </c>
      <c r="W4" s="19">
        <v>0.9</v>
      </c>
    </row>
    <row r="5" spans="1:23" x14ac:dyDescent="0.25">
      <c r="A5" t="s">
        <v>156</v>
      </c>
      <c r="B5" s="16" t="str">
        <f>Feed!K6</f>
        <v>15 to 30</v>
      </c>
      <c r="C5" t="s">
        <v>45</v>
      </c>
      <c r="F5" s="29" t="s">
        <v>172</v>
      </c>
      <c r="G5" s="26">
        <f>IFERROR(IF(780*$D$12/(G4+H4+R4)&lt;$D$14,780*$D$12/(G4+H4+R4),$D$14),$D$14)</f>
        <v>39</v>
      </c>
      <c r="H5" s="15">
        <f>IFERROR(IF(780*$D$12/(H4+I4+G4)&lt;$D$14,780*$D$12/(H4+I4+G4),$D$14),$D$14)</f>
        <v>39</v>
      </c>
      <c r="I5" s="15">
        <f t="shared" ref="I5" si="1">IFERROR(IF(780*$D$12/(I4+J4+H4)&lt;$D$14,780*$D$12/(I4+J4+H4),$D$14),$D$14)</f>
        <v>39</v>
      </c>
      <c r="J5" s="15">
        <f t="shared" ref="J5" si="2">IFERROR(IF(780*$D$12/(J4+K4+I4)&lt;$D$14,780*$D$12/(J4+K4+I4),$D$14),$D$14)</f>
        <v>39</v>
      </c>
      <c r="K5" s="15">
        <f t="shared" ref="K5" si="3">IFERROR(IF(780*$D$12/(K4+L4+J4)&lt;$D$14,780*$D$12/(K4+L4+J4),$D$14),$D$14)</f>
        <v>28.518749999999997</v>
      </c>
      <c r="L5" s="15">
        <f t="shared" ref="L5" si="4">IFERROR(IF(780*$D$12/(L4+M4+K4)&lt;$D$14,780*$D$12/(L4+M4+K4),$D$14),$D$14)</f>
        <v>19.334745762711862</v>
      </c>
      <c r="M5" s="15">
        <f t="shared" ref="M5" si="5">IFERROR(IF(780*$D$12/(M4+N4+L4)&lt;$D$14,780*$D$12/(M4+N4+L4),$D$14),$D$14)</f>
        <v>17.824218749999996</v>
      </c>
      <c r="N5" s="15">
        <f t="shared" ref="N5" si="6">IFERROR(IF(780*$D$12/(N4+O4+M4)&lt;$D$14,780*$D$12/(N4+O4+M4),$D$14),$D$14)</f>
        <v>20.740909090909085</v>
      </c>
      <c r="O5" s="15">
        <f t="shared" ref="O5" si="7">IFERROR(IF(780*$D$12/(O4+P4+N4)&lt;$D$14,780*$D$12/(O4+P4+N4),$D$14),$D$14)</f>
        <v>30.01973684210526</v>
      </c>
      <c r="P5" s="15">
        <f t="shared" ref="P5" si="8">IFERROR(IF(780*$D$12/(P4+Q4+O4)&lt;$D$14,780*$D$12/(P4+Q4+O4),$D$14),$D$14)</f>
        <v>39</v>
      </c>
      <c r="Q5" s="15">
        <f t="shared" ref="Q5" si="9">IFERROR(IF(780*$D$12/(Q4+R4+P4)&lt;$D$14,780*$D$12/(Q4+R4+P4),$D$14),$D$14)</f>
        <v>39</v>
      </c>
      <c r="R5" s="32">
        <f>IFERROR(IF(780*$D$12/(R4+G4+Q4)&lt;$D$14,780*$D$12/(R4+G4+Q4),$D$14),$D$14)</f>
        <v>39</v>
      </c>
      <c r="S5" s="22">
        <f>AVERAGE(G5:R5)</f>
        <v>32.453196703810519</v>
      </c>
      <c r="V5" t="s">
        <v>166</v>
      </c>
      <c r="W5" s="19">
        <v>0.65</v>
      </c>
    </row>
    <row r="6" spans="1:23" x14ac:dyDescent="0.25">
      <c r="A6" t="s">
        <v>160</v>
      </c>
      <c r="B6" s="45">
        <f>Feed!K5</f>
        <v>40</v>
      </c>
      <c r="C6" t="s">
        <v>159</v>
      </c>
      <c r="F6" s="29" t="s">
        <v>202</v>
      </c>
      <c r="G6" s="27" cm="1">
        <f t="array" ref="G6:R6">TRANSPOSE(Feed!K11:K22)</f>
        <v>0</v>
      </c>
      <c r="H6" s="28">
        <v>0.02</v>
      </c>
      <c r="I6" s="28">
        <v>0.1</v>
      </c>
      <c r="J6" s="28">
        <v>0.17</v>
      </c>
      <c r="K6" s="28">
        <v>0.22</v>
      </c>
      <c r="L6" s="28">
        <v>0.14000000000000001</v>
      </c>
      <c r="M6" s="28">
        <v>0.03</v>
      </c>
      <c r="N6" s="28">
        <v>0.03</v>
      </c>
      <c r="O6" s="28">
        <v>0.12</v>
      </c>
      <c r="P6" s="28">
        <v>0.12</v>
      </c>
      <c r="Q6" s="28">
        <v>0.05</v>
      </c>
      <c r="R6" s="33">
        <v>0</v>
      </c>
      <c r="S6" s="19">
        <f>SUM(G6:R6)</f>
        <v>1</v>
      </c>
      <c r="T6">
        <f>COUNTIF(G6:R6,0)</f>
        <v>2</v>
      </c>
      <c r="V6" t="s">
        <v>167</v>
      </c>
      <c r="W6" s="19">
        <v>0.6</v>
      </c>
    </row>
    <row r="7" spans="1:23" x14ac:dyDescent="0.25">
      <c r="A7" t="s">
        <v>162</v>
      </c>
      <c r="B7" s="19">
        <f>VLOOKUP(B5,V4:W8,2,FALSE)</f>
        <v>0.4</v>
      </c>
      <c r="C7" t="s">
        <v>47</v>
      </c>
      <c r="F7" s="29" t="s">
        <v>178</v>
      </c>
      <c r="G7" s="25">
        <f>G6*$B$9</f>
        <v>0</v>
      </c>
      <c r="H7" s="18">
        <f t="shared" ref="H7:R7" si="10">H6*$B$9</f>
        <v>5.1282051282051287E-2</v>
      </c>
      <c r="I7" s="18">
        <f t="shared" si="10"/>
        <v>0.25641025641025644</v>
      </c>
      <c r="J7" s="18">
        <f t="shared" si="10"/>
        <v>0.43589743589743596</v>
      </c>
      <c r="K7" s="18">
        <f t="shared" si="10"/>
        <v>0.56410256410256421</v>
      </c>
      <c r="L7" s="18">
        <f t="shared" si="10"/>
        <v>0.35897435897435903</v>
      </c>
      <c r="M7" s="18">
        <f t="shared" si="10"/>
        <v>7.6923076923076927E-2</v>
      </c>
      <c r="N7" s="18">
        <f t="shared" si="10"/>
        <v>7.6923076923076927E-2</v>
      </c>
      <c r="O7" s="18">
        <f t="shared" si="10"/>
        <v>0.30769230769230771</v>
      </c>
      <c r="P7" s="18">
        <f t="shared" si="10"/>
        <v>0.30769230769230771</v>
      </c>
      <c r="Q7" s="18">
        <f t="shared" si="10"/>
        <v>0.12820512820512822</v>
      </c>
      <c r="R7" s="31">
        <f t="shared" si="10"/>
        <v>0</v>
      </c>
      <c r="V7" t="s">
        <v>168</v>
      </c>
      <c r="W7" s="19">
        <v>0.5</v>
      </c>
    </row>
    <row r="8" spans="1:23" ht="15.75" thickBot="1" x14ac:dyDescent="0.3">
      <c r="A8" t="s">
        <v>170</v>
      </c>
      <c r="B8">
        <f>B3*2000*B7</f>
        <v>2000</v>
      </c>
      <c r="C8" t="s">
        <v>171</v>
      </c>
      <c r="F8" s="34" t="s">
        <v>173</v>
      </c>
      <c r="G8" s="35">
        <f>IFERROR(IF(780*$D$12/(G7+H7+R7)&lt;$D$14,780*$D$12/(G7+H7+R7),$D$14),$D$14)</f>
        <v>39</v>
      </c>
      <c r="H8" s="36">
        <f>IFERROR(IF(780*$D$12/(H7+I7+G7)&lt;$D$14,780*$D$12/(H7+I7+G7),$D$14),$D$14)</f>
        <v>39</v>
      </c>
      <c r="I8" s="36">
        <f t="shared" ref="I8:Q8" si="11">IFERROR(IF(780*$D$12/(I7+J7+H7)&lt;$D$14,780*$D$12/(I7+J7+H7),$D$14),$D$14)</f>
        <v>39</v>
      </c>
      <c r="J8" s="36">
        <f t="shared" si="11"/>
        <v>23.280612244897956</v>
      </c>
      <c r="K8" s="36">
        <f t="shared" si="11"/>
        <v>21.523584905660371</v>
      </c>
      <c r="L8" s="36">
        <f t="shared" si="11"/>
        <v>29.249999999999993</v>
      </c>
      <c r="M8" s="36">
        <f t="shared" si="11"/>
        <v>39</v>
      </c>
      <c r="N8" s="36">
        <f t="shared" si="11"/>
        <v>39</v>
      </c>
      <c r="O8" s="36">
        <f t="shared" si="11"/>
        <v>39</v>
      </c>
      <c r="P8" s="36">
        <f t="shared" si="11"/>
        <v>39</v>
      </c>
      <c r="Q8" s="36">
        <f t="shared" si="11"/>
        <v>39</v>
      </c>
      <c r="R8" s="37">
        <f>IFERROR(IF(780*$D$12/(R7+G7+Q7)&lt;$D$14,780*$D$12/(R7+G7+Q7),$D$14),$D$14)</f>
        <v>39</v>
      </c>
      <c r="S8" s="22">
        <f>AVERAGE(G8:R8)</f>
        <v>35.421183095879861</v>
      </c>
      <c r="V8" t="s">
        <v>169</v>
      </c>
      <c r="W8" s="19">
        <v>0.4</v>
      </c>
    </row>
    <row r="9" spans="1:23" ht="15.75" thickBot="1" x14ac:dyDescent="0.3">
      <c r="A9" t="s">
        <v>179</v>
      </c>
      <c r="B9" s="18">
        <f>B8/780</f>
        <v>2.5641025641025643</v>
      </c>
      <c r="F9" s="34" t="s">
        <v>183</v>
      </c>
      <c r="G9" s="41">
        <f>MIN(G8,G5)</f>
        <v>39</v>
      </c>
      <c r="H9" s="42">
        <f t="shared" ref="H9:R9" si="12">MIN(H8,H5)</f>
        <v>39</v>
      </c>
      <c r="I9" s="42">
        <f t="shared" si="12"/>
        <v>39</v>
      </c>
      <c r="J9" s="42">
        <f t="shared" si="12"/>
        <v>23.280612244897956</v>
      </c>
      <c r="K9" s="42">
        <f t="shared" si="12"/>
        <v>21.523584905660371</v>
      </c>
      <c r="L9" s="42">
        <f t="shared" si="12"/>
        <v>19.334745762711862</v>
      </c>
      <c r="M9" s="42">
        <f t="shared" si="12"/>
        <v>17.824218749999996</v>
      </c>
      <c r="N9" s="42">
        <f t="shared" si="12"/>
        <v>20.740909090909085</v>
      </c>
      <c r="O9" s="42">
        <f t="shared" si="12"/>
        <v>30.01973684210526</v>
      </c>
      <c r="P9" s="42">
        <f t="shared" si="12"/>
        <v>39</v>
      </c>
      <c r="Q9" s="42">
        <f t="shared" si="12"/>
        <v>39</v>
      </c>
      <c r="R9" s="43">
        <f t="shared" si="12"/>
        <v>39</v>
      </c>
      <c r="S9" s="22">
        <f>AVERAGE(G9:R9)</f>
        <v>30.560317299690379</v>
      </c>
      <c r="W9" s="19"/>
    </row>
    <row r="10" spans="1:23" ht="14.25" customHeight="1" x14ac:dyDescent="0.25">
      <c r="A10" t="s">
        <v>175</v>
      </c>
      <c r="B10" s="45">
        <f>Feed!K7</f>
        <v>35</v>
      </c>
      <c r="C10" t="s">
        <v>176</v>
      </c>
      <c r="V10" t="s">
        <v>163</v>
      </c>
      <c r="W10" s="19">
        <v>0.35</v>
      </c>
    </row>
    <row r="11" spans="1:23" x14ac:dyDescent="0.25">
      <c r="B11" s="45"/>
      <c r="V11" t="s">
        <v>164</v>
      </c>
      <c r="W11" s="19">
        <v>0.3</v>
      </c>
    </row>
    <row r="12" spans="1:23" x14ac:dyDescent="0.25">
      <c r="D12" s="20">
        <f>(B6+B10)/B8</f>
        <v>3.7499999999999999E-2</v>
      </c>
      <c r="E12" t="s">
        <v>177</v>
      </c>
    </row>
    <row r="13" spans="1:23" x14ac:dyDescent="0.25">
      <c r="D13" s="21">
        <f>IF(AVERAGE(Feed!C8:F8)/2000=0,0.05,AVERAGE(Feed!C8:F8)/2000)</f>
        <v>0.05</v>
      </c>
      <c r="E13" t="s">
        <v>181</v>
      </c>
    </row>
    <row r="14" spans="1:23" x14ac:dyDescent="0.25">
      <c r="D14" s="21">
        <f>D13*780</f>
        <v>39</v>
      </c>
      <c r="E14" t="s">
        <v>182</v>
      </c>
    </row>
    <row r="18" spans="1:2" x14ac:dyDescent="0.25">
      <c r="A18" t="s">
        <v>139</v>
      </c>
    </row>
    <row r="19" spans="1:2" x14ac:dyDescent="0.25">
      <c r="A19" t="s">
        <v>180</v>
      </c>
    </row>
    <row r="20" spans="1:2" x14ac:dyDescent="0.25">
      <c r="B20" s="21"/>
    </row>
  </sheetData>
  <sheetProtection sheet="1" objects="1" scenarios="1"/>
  <mergeCells count="1">
    <mergeCell ref="B2:C2"/>
  </mergeCells>
  <phoneticPr fontId="25" type="noConversion"/>
  <dataValidations disablePrompts="1" count="3">
    <dataValidation type="whole" allowBlank="1" showInputMessage="1" showErrorMessage="1" sqref="B4" xr:uid="{1B8537B1-9015-4E06-B8BF-9230CE02EBC0}">
      <formula1>0</formula1>
      <formula2>365</formula2>
    </dataValidation>
    <dataValidation type="list" allowBlank="1" showInputMessage="1" showErrorMessage="1" sqref="B5" xr:uid="{F1D295B2-C1B6-4116-B7A2-C383516F6344}">
      <formula1>$V$4:$V$11</formula1>
    </dataValidation>
    <dataValidation type="list" allowBlank="1" showInputMessage="1" showErrorMessage="1" sqref="B2:C2" xr:uid="{329F9CC3-615A-4FF0-BD95-05C2F47B3F25}">
      <formula1>$E$3:$E$4</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B46"/>
  <sheetViews>
    <sheetView workbookViewId="0"/>
  </sheetViews>
  <sheetFormatPr defaultRowHeight="15" x14ac:dyDescent="0.25"/>
  <sheetData>
    <row r="2" spans="2:2" x14ac:dyDescent="0.25">
      <c r="B2" s="11" t="s">
        <v>63</v>
      </c>
    </row>
    <row r="3" spans="2:2" x14ac:dyDescent="0.25">
      <c r="B3" s="10"/>
    </row>
    <row r="4" spans="2:2" x14ac:dyDescent="0.25">
      <c r="B4" s="10" t="s">
        <v>64</v>
      </c>
    </row>
    <row r="5" spans="2:2" x14ac:dyDescent="0.25">
      <c r="B5" s="10" t="s">
        <v>65</v>
      </c>
    </row>
    <row r="6" spans="2:2" x14ac:dyDescent="0.25">
      <c r="B6" s="10" t="s">
        <v>66</v>
      </c>
    </row>
    <row r="7" spans="2:2" x14ac:dyDescent="0.25">
      <c r="B7" s="10" t="s">
        <v>67</v>
      </c>
    </row>
    <row r="8" spans="2:2" x14ac:dyDescent="0.25">
      <c r="B8" s="10" t="s">
        <v>68</v>
      </c>
    </row>
    <row r="9" spans="2:2" x14ac:dyDescent="0.25">
      <c r="B9" s="10"/>
    </row>
    <row r="10" spans="2:2" x14ac:dyDescent="0.25">
      <c r="B10" s="10" t="s">
        <v>69</v>
      </c>
    </row>
    <row r="11" spans="2:2" x14ac:dyDescent="0.25">
      <c r="B11" s="10" t="s">
        <v>70</v>
      </c>
    </row>
    <row r="12" spans="2:2" x14ac:dyDescent="0.25">
      <c r="B12" s="10" t="s">
        <v>71</v>
      </c>
    </row>
    <row r="13" spans="2:2" x14ac:dyDescent="0.25">
      <c r="B13" s="10" t="s">
        <v>72</v>
      </c>
    </row>
    <row r="14" spans="2:2" x14ac:dyDescent="0.25">
      <c r="B14" s="10"/>
    </row>
    <row r="15" spans="2:2" x14ac:dyDescent="0.25">
      <c r="B15" s="10" t="s">
        <v>73</v>
      </c>
    </row>
    <row r="16" spans="2:2" x14ac:dyDescent="0.25">
      <c r="B16" s="10" t="s">
        <v>74</v>
      </c>
    </row>
    <row r="17" spans="2:2" x14ac:dyDescent="0.25">
      <c r="B17" s="10" t="s">
        <v>75</v>
      </c>
    </row>
    <row r="18" spans="2:2" x14ac:dyDescent="0.25">
      <c r="B18" s="10" t="s">
        <v>76</v>
      </c>
    </row>
    <row r="19" spans="2:2" x14ac:dyDescent="0.25">
      <c r="B19" s="10"/>
    </row>
    <row r="20" spans="2:2" x14ac:dyDescent="0.25">
      <c r="B20" s="10" t="s">
        <v>77</v>
      </c>
    </row>
    <row r="21" spans="2:2" x14ac:dyDescent="0.25">
      <c r="B21" s="10"/>
    </row>
    <row r="22" spans="2:2" x14ac:dyDescent="0.25">
      <c r="B22" s="10" t="s">
        <v>78</v>
      </c>
    </row>
    <row r="23" spans="2:2" x14ac:dyDescent="0.25">
      <c r="B23" s="10"/>
    </row>
    <row r="24" spans="2:2" x14ac:dyDescent="0.25">
      <c r="B24" s="10" t="s">
        <v>79</v>
      </c>
    </row>
    <row r="25" spans="2:2" x14ac:dyDescent="0.25">
      <c r="B25" s="10" t="s">
        <v>80</v>
      </c>
    </row>
    <row r="26" spans="2:2" x14ac:dyDescent="0.25">
      <c r="B26" s="10"/>
    </row>
    <row r="27" spans="2:2" x14ac:dyDescent="0.25">
      <c r="B27" s="11" t="s">
        <v>81</v>
      </c>
    </row>
    <row r="28" spans="2:2" x14ac:dyDescent="0.25">
      <c r="B28" s="12" t="s">
        <v>82</v>
      </c>
    </row>
    <row r="29" spans="2:2" x14ac:dyDescent="0.25">
      <c r="B29" s="12" t="s">
        <v>83</v>
      </c>
    </row>
    <row r="30" spans="2:2" x14ac:dyDescent="0.25">
      <c r="B30" s="11" t="s">
        <v>84</v>
      </c>
    </row>
    <row r="31" spans="2:2" x14ac:dyDescent="0.25">
      <c r="B31" s="12" t="s">
        <v>85</v>
      </c>
    </row>
    <row r="32" spans="2:2" x14ac:dyDescent="0.25">
      <c r="B32" s="9"/>
    </row>
    <row r="33" spans="2:2" x14ac:dyDescent="0.25">
      <c r="B33" s="9" t="s">
        <v>86</v>
      </c>
    </row>
    <row r="34" spans="2:2" x14ac:dyDescent="0.25">
      <c r="B34" s="9"/>
    </row>
    <row r="35" spans="2:2" x14ac:dyDescent="0.25">
      <c r="B35" s="9" t="s">
        <v>87</v>
      </c>
    </row>
    <row r="36" spans="2:2" x14ac:dyDescent="0.25">
      <c r="B36" s="9"/>
    </row>
    <row r="37" spans="2:2" x14ac:dyDescent="0.25">
      <c r="B37" s="13" t="s">
        <v>88</v>
      </c>
    </row>
    <row r="38" spans="2:2" x14ac:dyDescent="0.25">
      <c r="B38" s="13" t="s">
        <v>89</v>
      </c>
    </row>
    <row r="39" spans="2:2" x14ac:dyDescent="0.25">
      <c r="B39" s="13" t="s">
        <v>90</v>
      </c>
    </row>
    <row r="40" spans="2:2" x14ac:dyDescent="0.25">
      <c r="B40" s="13" t="s">
        <v>91</v>
      </c>
    </row>
    <row r="41" spans="2:2" x14ac:dyDescent="0.25">
      <c r="B41" s="9"/>
    </row>
    <row r="42" spans="2:2" x14ac:dyDescent="0.25">
      <c r="B42" s="9" t="s">
        <v>92</v>
      </c>
    </row>
    <row r="43" spans="2:2" x14ac:dyDescent="0.25">
      <c r="B43" s="9"/>
    </row>
    <row r="44" spans="2:2" x14ac:dyDescent="0.25">
      <c r="B44" s="9" t="s">
        <v>93</v>
      </c>
    </row>
    <row r="45" spans="2:2" x14ac:dyDescent="0.25">
      <c r="B45" s="9"/>
    </row>
    <row r="46" spans="2:2" x14ac:dyDescent="0.25">
      <c r="B46" s="9" t="s">
        <v>94</v>
      </c>
    </row>
  </sheetData>
  <hyperlinks>
    <hyperlink ref="B2" r:id="rId1" display="https://nam02.safelinks.protection.outlook.com/?url=https%3A%2F%2Fwww.asi.k-state.edu%2Fabout%2Fnewsletters%2Ffocus-on-feedlots%2Fmonthly-reports.html&amp;data=04%7C01%7C%7Ca88cd0812a3f43867a8908d94bb06db5%7Ce3fefdbef7e9401ba51a355e01b05a89%7C0%7C0%7C637624043384213105%7CUnknown%7CTWFpbGZsb3d8eyJWIjoiMC4wLjAwMDAiLCJQIjoiV2luMzIiLCJBTiI6Ik1haWwiLCJXVCI6Mn0%3D%7C1000&amp;sdata=MKgt1YQqOH4PxCZ0x9IBDGOGpz5zV8hSEjiY0nom%2BBs%3D&amp;reserved=0" xr:uid="{00000000-0004-0000-0400-000000000000}"/>
    <hyperlink ref="B27" r:id="rId2" display="mailto:HornerJ@missouri.edu" xr:uid="{00000000-0004-0000-0400-000001000000}"/>
    <hyperlink ref="B30" r:id="rId3" display="mailto:tuckerw@missouri.edu" xr:uid="{00000000-0004-0000-0400-000002000000}"/>
  </hyperlinks>
  <pageMargins left="0.7" right="0.7" top="0.75" bottom="0.75" header="0.3" footer="0.3"/>
  <pageSetup orientation="portrait"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1385C-D0C5-42D3-8D26-356D08A1169F}">
  <dimension ref="A1:R36"/>
  <sheetViews>
    <sheetView showGridLines="0" workbookViewId="0">
      <selection activeCell="B23" sqref="B22:B23"/>
    </sheetView>
  </sheetViews>
  <sheetFormatPr defaultColWidth="0" defaultRowHeight="15" x14ac:dyDescent="0.25"/>
  <cols>
    <col min="1" max="1" width="7.42578125" style="46" customWidth="1"/>
    <col min="2" max="2" width="44.7109375" style="46" bestFit="1" customWidth="1"/>
    <col min="3" max="3" width="12.85546875" style="46" bestFit="1" customWidth="1"/>
    <col min="4" max="6" width="12.85546875" style="46" customWidth="1"/>
    <col min="7" max="7" width="24.7109375" style="46" bestFit="1" customWidth="1"/>
    <col min="8" max="8" width="11.85546875" style="46" bestFit="1" customWidth="1"/>
    <col min="9" max="9" width="9.140625" style="46" customWidth="1"/>
    <col min="10" max="10" width="34.140625" style="46" bestFit="1" customWidth="1"/>
    <col min="11" max="11" width="21.42578125" style="46" bestFit="1" customWidth="1"/>
    <col min="12" max="12" width="23.42578125" style="46" bestFit="1" customWidth="1"/>
    <col min="13" max="13" width="15.85546875" style="46" customWidth="1"/>
    <col min="14" max="14" width="13" style="46" hidden="1" customWidth="1"/>
    <col min="15" max="15" width="11.7109375" style="46" hidden="1" customWidth="1"/>
    <col min="16" max="16" width="12.28515625" style="46" hidden="1" customWidth="1"/>
    <col min="17" max="18" width="11.7109375" style="46" hidden="1" customWidth="1"/>
    <col min="19" max="16384" width="9.140625" style="46" hidden="1"/>
  </cols>
  <sheetData>
    <row r="1" spans="2:15" customFormat="1" ht="15.75" thickBot="1" x14ac:dyDescent="0.3"/>
    <row r="2" spans="2:15" customFormat="1" ht="47.25" customHeight="1" thickBot="1" x14ac:dyDescent="0.4">
      <c r="B2" s="135" t="s">
        <v>212</v>
      </c>
      <c r="C2" s="538" t="s">
        <v>204</v>
      </c>
      <c r="D2" s="538"/>
      <c r="E2" s="538"/>
      <c r="F2" s="538"/>
      <c r="G2" s="133" t="s">
        <v>205</v>
      </c>
      <c r="H2" s="134" t="s">
        <v>95</v>
      </c>
      <c r="J2" s="539" t="s">
        <v>371</v>
      </c>
      <c r="K2" s="540"/>
      <c r="L2" s="541"/>
    </row>
    <row r="3" spans="2:15" customFormat="1" ht="18.75" x14ac:dyDescent="0.3">
      <c r="B3" s="101" t="s">
        <v>292</v>
      </c>
      <c r="C3" s="191"/>
      <c r="D3" s="192"/>
      <c r="E3" s="192"/>
      <c r="F3" s="192"/>
      <c r="G3" s="102"/>
      <c r="H3" s="103"/>
      <c r="J3" s="60" t="s">
        <v>249</v>
      </c>
      <c r="K3" s="56" t="s">
        <v>332</v>
      </c>
      <c r="L3" s="61" t="s">
        <v>333</v>
      </c>
    </row>
    <row r="4" spans="2:15" customFormat="1" ht="15.75" x14ac:dyDescent="0.25">
      <c r="B4" s="193"/>
      <c r="C4" s="194">
        <v>0</v>
      </c>
      <c r="D4" s="194">
        <v>0</v>
      </c>
      <c r="E4" s="194">
        <v>0</v>
      </c>
      <c r="F4" s="194">
        <v>0</v>
      </c>
      <c r="G4" s="195">
        <v>0</v>
      </c>
      <c r="H4" s="196">
        <v>0</v>
      </c>
      <c r="J4" s="62" t="s">
        <v>277</v>
      </c>
      <c r="K4" s="201">
        <v>2.5</v>
      </c>
      <c r="L4" s="63" t="s">
        <v>339</v>
      </c>
    </row>
    <row r="5" spans="2:15" customFormat="1" ht="15.75" x14ac:dyDescent="0.25">
      <c r="B5" s="193"/>
      <c r="C5" s="194">
        <v>0</v>
      </c>
      <c r="D5" s="194">
        <v>0</v>
      </c>
      <c r="E5" s="194">
        <v>0</v>
      </c>
      <c r="F5" s="194">
        <v>0</v>
      </c>
      <c r="G5" s="195">
        <v>0</v>
      </c>
      <c r="H5" s="196">
        <v>0</v>
      </c>
      <c r="J5" s="62" t="s">
        <v>274</v>
      </c>
      <c r="K5" s="202">
        <v>40</v>
      </c>
      <c r="L5" s="63" t="s">
        <v>176</v>
      </c>
    </row>
    <row r="6" spans="2:15" customFormat="1" ht="15.75" x14ac:dyDescent="0.25">
      <c r="B6" s="193"/>
      <c r="C6" s="194">
        <v>0</v>
      </c>
      <c r="D6" s="194">
        <v>0</v>
      </c>
      <c r="E6" s="194">
        <v>0</v>
      </c>
      <c r="F6" s="194">
        <v>0</v>
      </c>
      <c r="G6" s="195">
        <v>0</v>
      </c>
      <c r="H6" s="196">
        <v>0</v>
      </c>
      <c r="J6" s="62" t="s">
        <v>275</v>
      </c>
      <c r="K6" s="203" t="s">
        <v>169</v>
      </c>
      <c r="L6" s="63" t="s">
        <v>45</v>
      </c>
    </row>
    <row r="7" spans="2:15" customFormat="1" ht="16.5" thickBot="1" x14ac:dyDescent="0.3">
      <c r="B7" s="193"/>
      <c r="C7" s="194">
        <v>0</v>
      </c>
      <c r="D7" s="194">
        <v>0</v>
      </c>
      <c r="E7" s="194">
        <v>0</v>
      </c>
      <c r="F7" s="194">
        <v>0</v>
      </c>
      <c r="G7" s="195">
        <v>0</v>
      </c>
      <c r="H7" s="196">
        <v>0</v>
      </c>
      <c r="J7" s="130" t="s">
        <v>338</v>
      </c>
      <c r="K7" s="204">
        <v>35</v>
      </c>
      <c r="L7" s="131" t="s">
        <v>176</v>
      </c>
    </row>
    <row r="8" spans="2:15" customFormat="1" ht="16.5" thickBot="1" x14ac:dyDescent="0.3">
      <c r="B8" s="193"/>
      <c r="C8" s="194">
        <v>0</v>
      </c>
      <c r="D8" s="194">
        <v>0</v>
      </c>
      <c r="E8" s="194">
        <v>0</v>
      </c>
      <c r="F8" s="194">
        <v>0</v>
      </c>
      <c r="G8" s="195">
        <v>0</v>
      </c>
      <c r="H8" s="196">
        <v>0</v>
      </c>
    </row>
    <row r="9" spans="2:15" customFormat="1" ht="21.75" thickBot="1" x14ac:dyDescent="0.4">
      <c r="B9" s="193"/>
      <c r="C9" s="194">
        <v>0</v>
      </c>
      <c r="D9" s="194">
        <v>0</v>
      </c>
      <c r="E9" s="194">
        <v>0</v>
      </c>
      <c r="F9" s="194">
        <v>0</v>
      </c>
      <c r="G9" s="195">
        <v>0</v>
      </c>
      <c r="H9" s="196">
        <v>0</v>
      </c>
      <c r="J9" s="539" t="s">
        <v>371</v>
      </c>
      <c r="K9" s="540"/>
      <c r="L9" s="541"/>
      <c r="N9" s="155"/>
      <c r="O9" s="156"/>
    </row>
    <row r="10" spans="2:15" customFormat="1" ht="18.75" x14ac:dyDescent="0.3">
      <c r="B10" s="193"/>
      <c r="C10" s="194">
        <v>0</v>
      </c>
      <c r="D10" s="194">
        <v>0</v>
      </c>
      <c r="E10" s="194">
        <v>0</v>
      </c>
      <c r="F10" s="194">
        <v>0</v>
      </c>
      <c r="G10" s="195">
        <v>0</v>
      </c>
      <c r="H10" s="196">
        <v>0</v>
      </c>
      <c r="J10" s="157" t="s">
        <v>143</v>
      </c>
      <c r="K10" s="158" t="s">
        <v>393</v>
      </c>
      <c r="L10" s="159" t="s">
        <v>394</v>
      </c>
    </row>
    <row r="11" spans="2:15" customFormat="1" ht="15.75" x14ac:dyDescent="0.25">
      <c r="B11" s="193"/>
      <c r="C11" s="194">
        <v>0</v>
      </c>
      <c r="D11" s="194">
        <v>0</v>
      </c>
      <c r="E11" s="194">
        <v>0</v>
      </c>
      <c r="F11" s="194">
        <v>0</v>
      </c>
      <c r="G11" s="195">
        <v>0</v>
      </c>
      <c r="H11" s="196">
        <v>0</v>
      </c>
      <c r="J11" s="62" t="s">
        <v>395</v>
      </c>
      <c r="K11" s="205">
        <v>0</v>
      </c>
      <c r="L11" s="206">
        <v>0</v>
      </c>
    </row>
    <row r="12" spans="2:15" customFormat="1" ht="15.75" x14ac:dyDescent="0.25">
      <c r="B12" s="193"/>
      <c r="C12" s="194">
        <v>0</v>
      </c>
      <c r="D12" s="194">
        <v>0</v>
      </c>
      <c r="E12" s="194">
        <v>0</v>
      </c>
      <c r="F12" s="194">
        <v>0</v>
      </c>
      <c r="G12" s="195">
        <v>0</v>
      </c>
      <c r="H12" s="196">
        <v>0</v>
      </c>
      <c r="J12" s="62" t="s">
        <v>396</v>
      </c>
      <c r="K12" s="205">
        <v>0.02</v>
      </c>
      <c r="L12" s="206">
        <v>0</v>
      </c>
    </row>
    <row r="13" spans="2:15" customFormat="1" ht="15.75" x14ac:dyDescent="0.25">
      <c r="B13" s="193"/>
      <c r="C13" s="194">
        <v>0</v>
      </c>
      <c r="D13" s="194">
        <v>0</v>
      </c>
      <c r="E13" s="194">
        <v>0</v>
      </c>
      <c r="F13" s="194">
        <v>0</v>
      </c>
      <c r="G13" s="195">
        <v>0</v>
      </c>
      <c r="H13" s="196">
        <v>0</v>
      </c>
      <c r="J13" s="62" t="s">
        <v>397</v>
      </c>
      <c r="K13" s="205">
        <v>0.1</v>
      </c>
      <c r="L13" s="206">
        <v>0</v>
      </c>
    </row>
    <row r="14" spans="2:15" customFormat="1" ht="15.75" x14ac:dyDescent="0.25">
      <c r="B14" s="193"/>
      <c r="C14" s="194">
        <v>0</v>
      </c>
      <c r="D14" s="194">
        <v>0</v>
      </c>
      <c r="E14" s="194">
        <v>0</v>
      </c>
      <c r="F14" s="194">
        <v>0</v>
      </c>
      <c r="G14" s="195">
        <v>0</v>
      </c>
      <c r="H14" s="196">
        <v>0</v>
      </c>
      <c r="J14" s="62" t="s">
        <v>398</v>
      </c>
      <c r="K14" s="205">
        <v>0.17</v>
      </c>
      <c r="L14" s="206">
        <v>0.03</v>
      </c>
    </row>
    <row r="15" spans="2:15" customFormat="1" ht="15.75" x14ac:dyDescent="0.25">
      <c r="B15" s="193"/>
      <c r="C15" s="194">
        <v>0</v>
      </c>
      <c r="D15" s="194">
        <v>0</v>
      </c>
      <c r="E15" s="194">
        <v>0</v>
      </c>
      <c r="F15" s="194">
        <v>0</v>
      </c>
      <c r="G15" s="195">
        <v>0</v>
      </c>
      <c r="H15" s="196">
        <v>0</v>
      </c>
      <c r="J15" s="62" t="s">
        <v>148</v>
      </c>
      <c r="K15" s="205">
        <v>0.22</v>
      </c>
      <c r="L15" s="206">
        <v>0.15</v>
      </c>
    </row>
    <row r="16" spans="2:15" customFormat="1" ht="15.75" x14ac:dyDescent="0.25">
      <c r="B16" s="193"/>
      <c r="C16" s="194">
        <v>0</v>
      </c>
      <c r="D16" s="194">
        <v>0</v>
      </c>
      <c r="E16" s="194">
        <v>0</v>
      </c>
      <c r="F16" s="194">
        <v>0</v>
      </c>
      <c r="G16" s="195">
        <v>0</v>
      </c>
      <c r="H16" s="196">
        <v>0</v>
      </c>
      <c r="J16" s="62" t="s">
        <v>399</v>
      </c>
      <c r="K16" s="205">
        <v>0.14000000000000001</v>
      </c>
      <c r="L16" s="206">
        <v>0.22</v>
      </c>
    </row>
    <row r="17" spans="1:12" customFormat="1" ht="15.75" x14ac:dyDescent="0.25">
      <c r="B17" s="193"/>
      <c r="C17" s="194">
        <v>0</v>
      </c>
      <c r="D17" s="194">
        <v>0</v>
      </c>
      <c r="E17" s="194">
        <v>0</v>
      </c>
      <c r="F17" s="194">
        <v>0</v>
      </c>
      <c r="G17" s="195">
        <v>0</v>
      </c>
      <c r="H17" s="196">
        <v>0</v>
      </c>
      <c r="J17" s="62" t="s">
        <v>400</v>
      </c>
      <c r="K17" s="205">
        <v>0.03</v>
      </c>
      <c r="L17" s="206">
        <v>0.22</v>
      </c>
    </row>
    <row r="18" spans="1:12" customFormat="1" ht="15.75" x14ac:dyDescent="0.25">
      <c r="B18" s="193"/>
      <c r="C18" s="194">
        <v>0</v>
      </c>
      <c r="D18" s="194">
        <v>0</v>
      </c>
      <c r="E18" s="194">
        <v>0</v>
      </c>
      <c r="F18" s="194">
        <v>0</v>
      </c>
      <c r="G18" s="195">
        <v>0</v>
      </c>
      <c r="H18" s="196">
        <v>0</v>
      </c>
      <c r="J18" s="62" t="s">
        <v>401</v>
      </c>
      <c r="K18" s="205">
        <v>0.03</v>
      </c>
      <c r="L18" s="206">
        <v>0.2</v>
      </c>
    </row>
    <row r="19" spans="1:12" customFormat="1" ht="16.5" thickBot="1" x14ac:dyDescent="0.3">
      <c r="B19" s="197"/>
      <c r="C19" s="198">
        <v>0</v>
      </c>
      <c r="D19" s="198">
        <v>0</v>
      </c>
      <c r="E19" s="198">
        <v>0</v>
      </c>
      <c r="F19" s="198">
        <v>0</v>
      </c>
      <c r="G19" s="199">
        <v>0</v>
      </c>
      <c r="H19" s="200">
        <v>0</v>
      </c>
      <c r="J19" s="62" t="s">
        <v>402</v>
      </c>
      <c r="K19" s="205">
        <v>0.12</v>
      </c>
      <c r="L19" s="206">
        <v>0.13</v>
      </c>
    </row>
    <row r="20" spans="1:12" customFormat="1" x14ac:dyDescent="0.25">
      <c r="C20" s="49">
        <v>1</v>
      </c>
      <c r="D20" s="49">
        <v>2</v>
      </c>
      <c r="E20" s="49">
        <v>3</v>
      </c>
      <c r="F20" s="49">
        <v>4</v>
      </c>
      <c r="J20" s="62" t="s">
        <v>403</v>
      </c>
      <c r="K20" s="205">
        <v>0.12</v>
      </c>
      <c r="L20" s="206">
        <v>0.05</v>
      </c>
    </row>
    <row r="21" spans="1:12" customFormat="1" ht="15.75" x14ac:dyDescent="0.25">
      <c r="A21" s="46"/>
      <c r="B21" s="46"/>
      <c r="C21" s="50"/>
      <c r="D21" s="132">
        <f>D3-C3</f>
        <v>0</v>
      </c>
      <c r="E21" s="132">
        <f t="shared" ref="E21:F21" si="0">E3-D3</f>
        <v>0</v>
      </c>
      <c r="F21" s="132">
        <f t="shared" si="0"/>
        <v>0</v>
      </c>
      <c r="G21" s="46"/>
      <c r="H21" s="46"/>
      <c r="J21" s="62" t="s">
        <v>404</v>
      </c>
      <c r="K21" s="205">
        <v>0.05</v>
      </c>
      <c r="L21" s="206">
        <v>0</v>
      </c>
    </row>
    <row r="22" spans="1:12" customFormat="1" x14ac:dyDescent="0.25">
      <c r="A22" s="46"/>
      <c r="B22" s="46"/>
      <c r="C22" s="46"/>
      <c r="D22" s="46"/>
      <c r="E22" s="46"/>
      <c r="F22" s="46"/>
      <c r="G22" s="46"/>
      <c r="H22" s="46"/>
      <c r="J22" s="160" t="s">
        <v>405</v>
      </c>
      <c r="K22" s="207">
        <v>0</v>
      </c>
      <c r="L22" s="208">
        <v>0</v>
      </c>
    </row>
    <row r="23" spans="1:12" customFormat="1" ht="15.75" thickBot="1" x14ac:dyDescent="0.3">
      <c r="A23" s="46"/>
      <c r="B23" s="46"/>
      <c r="C23" s="46"/>
      <c r="D23" s="46"/>
      <c r="E23" s="46"/>
      <c r="F23" s="46"/>
      <c r="G23" s="46"/>
      <c r="H23" s="46"/>
      <c r="J23" s="44" t="s">
        <v>406</v>
      </c>
      <c r="K23" s="161">
        <f>SUM(K11:K22)</f>
        <v>1</v>
      </c>
      <c r="L23" s="162">
        <f>SUM(L11:L22)</f>
        <v>1</v>
      </c>
    </row>
    <row r="24" spans="1:12" customFormat="1" ht="15.75" thickBot="1" x14ac:dyDescent="0.3">
      <c r="A24" s="46"/>
      <c r="B24" s="46"/>
      <c r="C24" s="46"/>
      <c r="D24" s="46"/>
      <c r="E24" s="46"/>
      <c r="F24" s="46"/>
      <c r="G24" s="46"/>
      <c r="H24" s="46"/>
      <c r="J24" s="522" t="s">
        <v>424</v>
      </c>
      <c r="K24" s="523"/>
      <c r="L24" s="524"/>
    </row>
    <row r="25" spans="1:12" customFormat="1" x14ac:dyDescent="0.25">
      <c r="A25" s="46"/>
      <c r="B25" s="46"/>
      <c r="C25" s="46"/>
      <c r="D25" s="46"/>
      <c r="E25" s="46"/>
      <c r="F25" s="46"/>
      <c r="G25" s="46"/>
      <c r="H25" s="46"/>
    </row>
    <row r="33" s="46" customFormat="1" x14ac:dyDescent="0.25"/>
    <row r="34" s="46" customFormat="1" x14ac:dyDescent="0.25"/>
    <row r="35" s="46" customFormat="1" x14ac:dyDescent="0.25"/>
    <row r="36" s="46" customFormat="1" x14ac:dyDescent="0.25"/>
  </sheetData>
  <sheetProtection sheet="1" objects="1" scenarios="1"/>
  <protectedRanges>
    <protectedRange sqref="K4:K7" name="Edit cells_1"/>
    <protectedRange sqref="C3:F3 B4:H19" name="Edit cells"/>
  </protectedRanges>
  <mergeCells count="3">
    <mergeCell ref="C2:F2"/>
    <mergeCell ref="J2:L2"/>
    <mergeCell ref="J9:L9"/>
  </mergeCells>
  <phoneticPr fontId="25" type="noConversion"/>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BDFA03B-01E1-49CC-8476-288276BA6AC0}">
          <x14:formula1>
            <xm:f>'AUM Evaluator'!$V$4:$V$11</xm:f>
          </x14:formula1>
          <xm:sqref>K6</xm:sqref>
        </x14:dataValidation>
      </x14:dataValidations>
    </ext>
    <ext xmlns:x14="http://schemas.microsoft.com/office/spreadsheetml/2009/9/main" uri="{05C60535-1F16-4fd2-B633-F4F36F0B64E0}">
      <x14:sparklineGroups xmlns:xm="http://schemas.microsoft.com/office/excel/2006/main">
        <x14:sparklineGroup displayEmptyCellsAs="gap" xr2:uid="{B0424759-19D5-4E11-925F-352FBE9039CE}">
          <x14:colorSeries rgb="FF376092"/>
          <x14:colorNegative rgb="FFD00000"/>
          <x14:colorAxis rgb="FF000000"/>
          <x14:colorMarkers rgb="FFD00000"/>
          <x14:colorFirst rgb="FFD00000"/>
          <x14:colorLast rgb="FFD00000"/>
          <x14:colorHigh rgb="FFD00000"/>
          <x14:colorLow rgb="FFD00000"/>
          <x14:sparklines>
            <x14:sparkline>
              <xm:f>Feed!K11:K22</xm:f>
              <xm:sqref>K24</xm:sqref>
            </x14:sparkline>
            <x14:sparkline>
              <xm:f>Feed!L11:L22</xm:f>
              <xm:sqref>L24</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47"/>
  <sheetViews>
    <sheetView workbookViewId="0"/>
  </sheetViews>
  <sheetFormatPr defaultColWidth="9.140625" defaultRowHeight="15" x14ac:dyDescent="0.25"/>
  <cols>
    <col min="1" max="1" width="7.7109375" style="1" customWidth="1"/>
    <col min="2" max="2" width="51.28515625" style="1" customWidth="1"/>
    <col min="3" max="3" width="5" style="1" customWidth="1"/>
    <col min="4" max="4" width="15.28515625" style="1" customWidth="1"/>
    <col min="5" max="5" width="14.28515625" style="1" customWidth="1"/>
    <col min="6" max="6" width="13.7109375" style="1" customWidth="1"/>
    <col min="7" max="7" width="11.5703125" style="1" customWidth="1"/>
    <col min="8" max="8" width="15.28515625" style="1" customWidth="1"/>
    <col min="9" max="9" width="12.7109375" style="1" customWidth="1"/>
    <col min="10" max="16384" width="9.140625" style="1"/>
  </cols>
  <sheetData>
    <row r="2" spans="2:9" ht="27" thickBot="1" x14ac:dyDescent="0.45">
      <c r="B2" s="562" t="s">
        <v>409</v>
      </c>
      <c r="C2" s="562"/>
      <c r="D2" s="562"/>
      <c r="E2" s="562"/>
      <c r="F2" s="562"/>
      <c r="G2" s="562"/>
      <c r="H2" s="562"/>
      <c r="I2" s="562"/>
    </row>
    <row r="3" spans="2:9" ht="18.75" x14ac:dyDescent="0.3">
      <c r="B3" s="563" t="s">
        <v>11</v>
      </c>
      <c r="C3" s="564"/>
      <c r="D3" s="564"/>
      <c r="E3" s="564"/>
      <c r="F3" s="564"/>
      <c r="G3" s="564"/>
      <c r="H3" s="564"/>
      <c r="I3" s="565"/>
    </row>
    <row r="4" spans="2:9" ht="15.75" x14ac:dyDescent="0.25">
      <c r="B4" s="69" t="s">
        <v>30</v>
      </c>
      <c r="C4" s="8"/>
      <c r="D4" s="433">
        <v>50</v>
      </c>
      <c r="E4" s="5" t="s">
        <v>0</v>
      </c>
      <c r="F4" s="576"/>
      <c r="G4" s="576"/>
      <c r="H4" s="576"/>
      <c r="I4" s="577"/>
    </row>
    <row r="5" spans="2:9" ht="15.75" x14ac:dyDescent="0.25">
      <c r="B5" s="70" t="s">
        <v>31</v>
      </c>
      <c r="C5" s="71"/>
      <c r="D5" s="433">
        <v>125</v>
      </c>
      <c r="E5" s="1" t="s">
        <v>0</v>
      </c>
      <c r="F5" s="578" t="s">
        <v>33</v>
      </c>
      <c r="G5" s="578"/>
      <c r="H5" s="72">
        <f>D5/D4</f>
        <v>2.5</v>
      </c>
      <c r="I5" s="73"/>
    </row>
    <row r="6" spans="2:9" ht="15.75" x14ac:dyDescent="0.25">
      <c r="B6" s="70" t="s">
        <v>32</v>
      </c>
      <c r="C6" s="71"/>
      <c r="D6" s="434">
        <v>90</v>
      </c>
      <c r="E6" s="1" t="s">
        <v>1</v>
      </c>
      <c r="F6" s="544"/>
      <c r="G6" s="544"/>
      <c r="H6" s="544"/>
      <c r="I6" s="545"/>
    </row>
    <row r="7" spans="2:9" ht="15.75" x14ac:dyDescent="0.25">
      <c r="B7" s="70" t="s">
        <v>62</v>
      </c>
      <c r="C7" s="71"/>
      <c r="D7" s="433">
        <v>30</v>
      </c>
      <c r="E7" s="1" t="s">
        <v>104</v>
      </c>
      <c r="F7" s="74"/>
      <c r="G7" s="74"/>
      <c r="H7" s="74"/>
      <c r="I7" s="75"/>
    </row>
    <row r="8" spans="2:9" ht="15.75" x14ac:dyDescent="0.25">
      <c r="B8" s="76" t="s">
        <v>60</v>
      </c>
      <c r="D8" s="435">
        <v>21</v>
      </c>
      <c r="E8" s="77" t="s">
        <v>61</v>
      </c>
      <c r="F8" s="544"/>
      <c r="G8" s="544"/>
      <c r="H8" s="544"/>
      <c r="I8" s="545"/>
    </row>
    <row r="9" spans="2:9" ht="15.75" x14ac:dyDescent="0.25">
      <c r="B9" s="76" t="s">
        <v>13</v>
      </c>
      <c r="D9" s="436">
        <v>50</v>
      </c>
      <c r="E9" s="1" t="s">
        <v>14</v>
      </c>
      <c r="F9" s="544"/>
      <c r="G9" s="544"/>
      <c r="H9" s="544"/>
      <c r="I9" s="545"/>
    </row>
    <row r="10" spans="2:9" ht="15.75" x14ac:dyDescent="0.25">
      <c r="B10" s="76" t="s">
        <v>99</v>
      </c>
      <c r="D10" s="437">
        <v>15</v>
      </c>
      <c r="E10" s="1" t="s">
        <v>104</v>
      </c>
      <c r="F10" s="74"/>
      <c r="G10" s="74"/>
      <c r="H10" s="74"/>
      <c r="I10" s="75"/>
    </row>
    <row r="11" spans="2:9" ht="15.75" x14ac:dyDescent="0.25">
      <c r="B11" s="76" t="s">
        <v>97</v>
      </c>
      <c r="D11" s="437">
        <v>70</v>
      </c>
      <c r="E11" s="1" t="s">
        <v>418</v>
      </c>
      <c r="F11" s="74"/>
      <c r="G11" s="74"/>
      <c r="H11" s="74"/>
      <c r="I11" s="75"/>
    </row>
    <row r="12" spans="2:9" ht="15.75" x14ac:dyDescent="0.25">
      <c r="B12" s="76" t="s">
        <v>98</v>
      </c>
      <c r="D12" s="435">
        <v>3.25</v>
      </c>
      <c r="E12" s="1" t="s">
        <v>105</v>
      </c>
      <c r="F12" s="74"/>
      <c r="G12" s="74"/>
      <c r="H12" s="74"/>
      <c r="I12" s="75"/>
    </row>
    <row r="13" spans="2:9" ht="15.75" x14ac:dyDescent="0.25">
      <c r="B13" s="76" t="s">
        <v>100</v>
      </c>
      <c r="D13" s="14">
        <f>0.044*D12*D11*(D10/60)</f>
        <v>2.5024999999999999</v>
      </c>
      <c r="E13" s="1" t="s">
        <v>106</v>
      </c>
      <c r="F13" s="544"/>
      <c r="G13" s="544"/>
      <c r="H13" s="544"/>
      <c r="I13" s="545"/>
    </row>
    <row r="14" spans="2:9" ht="7.5" customHeight="1" x14ac:dyDescent="0.25">
      <c r="B14" s="553"/>
      <c r="C14" s="554"/>
      <c r="D14" s="554"/>
      <c r="E14" s="554"/>
      <c r="F14" s="554"/>
      <c r="G14" s="554"/>
      <c r="H14" s="554"/>
      <c r="I14" s="555"/>
    </row>
    <row r="15" spans="2:9" ht="18.75" x14ac:dyDescent="0.3">
      <c r="B15" s="566" t="s">
        <v>15</v>
      </c>
      <c r="C15" s="64"/>
      <c r="D15" s="568" t="s">
        <v>16</v>
      </c>
      <c r="E15" s="570" t="s">
        <v>40</v>
      </c>
      <c r="F15" s="570" t="s">
        <v>41</v>
      </c>
      <c r="G15" s="572" t="s">
        <v>42</v>
      </c>
      <c r="H15" s="572" t="s">
        <v>43</v>
      </c>
      <c r="I15" s="574" t="s">
        <v>44</v>
      </c>
    </row>
    <row r="16" spans="2:9" ht="18.75" x14ac:dyDescent="0.3">
      <c r="B16" s="567"/>
      <c r="C16" s="65"/>
      <c r="D16" s="569"/>
      <c r="E16" s="571"/>
      <c r="F16" s="571"/>
      <c r="G16" s="573"/>
      <c r="H16" s="573"/>
      <c r="I16" s="575"/>
    </row>
    <row r="17" spans="2:9" ht="15.75" x14ac:dyDescent="0.25">
      <c r="B17" s="438" t="s">
        <v>425</v>
      </c>
      <c r="C17" s="2"/>
      <c r="D17" s="441">
        <v>2500</v>
      </c>
      <c r="E17" s="442">
        <v>0</v>
      </c>
      <c r="F17" s="443">
        <v>30</v>
      </c>
      <c r="G17" s="444">
        <v>0.02</v>
      </c>
      <c r="H17" s="2">
        <f>IF(D17=0,0,(D17-(D17*E17))/F17)</f>
        <v>83.333333333333329</v>
      </c>
      <c r="I17" s="78">
        <f>IF(D17=0,0,D17*G17)</f>
        <v>50</v>
      </c>
    </row>
    <row r="18" spans="2:9" ht="15.75" x14ac:dyDescent="0.25">
      <c r="B18" s="439" t="s">
        <v>426</v>
      </c>
      <c r="C18" s="51"/>
      <c r="D18" s="436">
        <v>3500</v>
      </c>
      <c r="E18" s="445">
        <v>0.1</v>
      </c>
      <c r="F18" s="446">
        <v>30</v>
      </c>
      <c r="G18" s="447">
        <v>5.0000000000000001E-3</v>
      </c>
      <c r="H18" s="51">
        <f t="shared" ref="H18:H28" si="0">IF(D18=0,0,(D18-(D18*E18))/F18)</f>
        <v>105</v>
      </c>
      <c r="I18" s="79">
        <f t="shared" ref="I18:I28" si="1">IF(D18=0,0,D18*G18)</f>
        <v>17.5</v>
      </c>
    </row>
    <row r="19" spans="2:9" ht="15.75" x14ac:dyDescent="0.25">
      <c r="B19" s="439" t="s">
        <v>427</v>
      </c>
      <c r="C19" s="51"/>
      <c r="D19" s="436">
        <v>1500</v>
      </c>
      <c r="E19" s="445">
        <v>0.1</v>
      </c>
      <c r="F19" s="446">
        <v>15</v>
      </c>
      <c r="G19" s="447">
        <v>0.01</v>
      </c>
      <c r="H19" s="51">
        <f t="shared" si="0"/>
        <v>90</v>
      </c>
      <c r="I19" s="79">
        <f t="shared" si="1"/>
        <v>15</v>
      </c>
    </row>
    <row r="20" spans="2:9" ht="15.75" x14ac:dyDescent="0.25">
      <c r="B20" s="439" t="s">
        <v>18</v>
      </c>
      <c r="C20" s="51"/>
      <c r="D20" s="436">
        <v>6000</v>
      </c>
      <c r="E20" s="445">
        <v>0.25</v>
      </c>
      <c r="F20" s="446">
        <v>25</v>
      </c>
      <c r="G20" s="447">
        <v>0.02</v>
      </c>
      <c r="H20" s="51">
        <f t="shared" si="0"/>
        <v>180</v>
      </c>
      <c r="I20" s="79">
        <f t="shared" si="1"/>
        <v>120</v>
      </c>
    </row>
    <row r="21" spans="2:9" ht="15.75" x14ac:dyDescent="0.25">
      <c r="B21" s="439" t="s">
        <v>428</v>
      </c>
      <c r="C21" s="51"/>
      <c r="D21" s="436">
        <v>1000</v>
      </c>
      <c r="E21" s="445">
        <v>0.5</v>
      </c>
      <c r="F21" s="446">
        <v>50</v>
      </c>
      <c r="G21" s="447">
        <v>0.01</v>
      </c>
      <c r="H21" s="51">
        <f t="shared" si="0"/>
        <v>10</v>
      </c>
      <c r="I21" s="79">
        <f t="shared" si="1"/>
        <v>10</v>
      </c>
    </row>
    <row r="22" spans="2:9" ht="15.75" x14ac:dyDescent="0.25">
      <c r="B22" s="439" t="s">
        <v>429</v>
      </c>
      <c r="C22" s="51"/>
      <c r="D22" s="436">
        <v>6000</v>
      </c>
      <c r="E22" s="445">
        <v>0.25</v>
      </c>
      <c r="F22" s="446">
        <v>20</v>
      </c>
      <c r="G22" s="447">
        <v>0.02</v>
      </c>
      <c r="H22" s="51">
        <f t="shared" si="0"/>
        <v>225</v>
      </c>
      <c r="I22" s="79">
        <f t="shared" si="1"/>
        <v>120</v>
      </c>
    </row>
    <row r="23" spans="2:9" ht="15.75" x14ac:dyDescent="0.25">
      <c r="B23" s="439" t="s">
        <v>430</v>
      </c>
      <c r="C23" s="51"/>
      <c r="D23" s="436">
        <v>30000</v>
      </c>
      <c r="E23" s="445">
        <v>0.25</v>
      </c>
      <c r="F23" s="446">
        <v>40</v>
      </c>
      <c r="G23" s="447">
        <v>0.01</v>
      </c>
      <c r="H23" s="51">
        <f t="shared" si="0"/>
        <v>562.5</v>
      </c>
      <c r="I23" s="79">
        <f t="shared" si="1"/>
        <v>300</v>
      </c>
    </row>
    <row r="24" spans="2:9" ht="15.75" x14ac:dyDescent="0.25">
      <c r="B24" s="439" t="s">
        <v>431</v>
      </c>
      <c r="C24" s="51"/>
      <c r="D24" s="436">
        <v>10000</v>
      </c>
      <c r="E24" s="445">
        <v>0.3</v>
      </c>
      <c r="F24" s="446">
        <v>15</v>
      </c>
      <c r="G24" s="447">
        <v>0.02</v>
      </c>
      <c r="H24" s="51">
        <f t="shared" si="0"/>
        <v>466.66666666666669</v>
      </c>
      <c r="I24" s="79">
        <f t="shared" si="1"/>
        <v>200</v>
      </c>
    </row>
    <row r="25" spans="2:9" ht="15.75" x14ac:dyDescent="0.25">
      <c r="B25" s="439" t="s">
        <v>432</v>
      </c>
      <c r="C25" s="51"/>
      <c r="D25" s="436">
        <v>6000</v>
      </c>
      <c r="E25" s="445">
        <v>0.5</v>
      </c>
      <c r="F25" s="446">
        <v>15</v>
      </c>
      <c r="G25" s="447">
        <v>0.02</v>
      </c>
      <c r="H25" s="51">
        <f t="shared" si="0"/>
        <v>200</v>
      </c>
      <c r="I25" s="79">
        <f t="shared" si="1"/>
        <v>120</v>
      </c>
    </row>
    <row r="26" spans="2:9" ht="15.75" x14ac:dyDescent="0.25">
      <c r="B26" s="439" t="s">
        <v>433</v>
      </c>
      <c r="C26" s="51"/>
      <c r="D26" s="436">
        <v>15000</v>
      </c>
      <c r="E26" s="445">
        <v>0.5</v>
      </c>
      <c r="F26" s="446">
        <v>20</v>
      </c>
      <c r="G26" s="447">
        <v>2.5000000000000001E-2</v>
      </c>
      <c r="H26" s="51">
        <f t="shared" si="0"/>
        <v>375</v>
      </c>
      <c r="I26" s="79">
        <f t="shared" si="1"/>
        <v>375</v>
      </c>
    </row>
    <row r="27" spans="2:9" ht="15.75" x14ac:dyDescent="0.25">
      <c r="B27" s="439"/>
      <c r="C27" s="51"/>
      <c r="D27" s="436"/>
      <c r="E27" s="445"/>
      <c r="F27" s="446"/>
      <c r="G27" s="447"/>
      <c r="H27" s="51">
        <f t="shared" si="0"/>
        <v>0</v>
      </c>
      <c r="I27" s="79">
        <f t="shared" si="1"/>
        <v>0</v>
      </c>
    </row>
    <row r="28" spans="2:9" ht="15.75" x14ac:dyDescent="0.25">
      <c r="B28" s="440"/>
      <c r="C28" s="53"/>
      <c r="D28" s="448"/>
      <c r="E28" s="449"/>
      <c r="F28" s="450"/>
      <c r="G28" s="451"/>
      <c r="H28" s="53">
        <f t="shared" si="0"/>
        <v>0</v>
      </c>
      <c r="I28" s="93">
        <f t="shared" si="1"/>
        <v>0</v>
      </c>
    </row>
    <row r="29" spans="2:9" ht="15.75" x14ac:dyDescent="0.25">
      <c r="B29" s="94" t="s">
        <v>4</v>
      </c>
      <c r="C29" s="95"/>
      <c r="D29" s="96">
        <f>SUM(D17:D28)</f>
        <v>81500</v>
      </c>
      <c r="E29" s="547"/>
      <c r="F29" s="547"/>
      <c r="G29" s="547"/>
      <c r="H29" s="95">
        <f>SUM(H17:H28)</f>
        <v>2297.5</v>
      </c>
      <c r="I29" s="97">
        <f>SUM(I17:I28)</f>
        <v>1327.5</v>
      </c>
    </row>
    <row r="30" spans="2:9" ht="15.75" x14ac:dyDescent="0.25">
      <c r="B30" s="80"/>
      <c r="C30" s="51"/>
      <c r="D30" s="81"/>
      <c r="E30" s="52"/>
      <c r="F30" s="52"/>
      <c r="G30" s="52"/>
      <c r="H30" s="51"/>
      <c r="I30" s="82"/>
    </row>
    <row r="31" spans="2:9" ht="15.75" x14ac:dyDescent="0.25">
      <c r="B31" s="76" t="s">
        <v>20</v>
      </c>
      <c r="C31" s="51"/>
      <c r="D31" s="452">
        <v>7.4999999999999997E-2</v>
      </c>
      <c r="E31" s="83" t="s">
        <v>5</v>
      </c>
      <c r="F31" s="51">
        <f>D31*((D29+SUMPRODUCT(D17:D28,E17:E28))/2)</f>
        <v>3993.75</v>
      </c>
      <c r="G31" s="84" t="s">
        <v>21</v>
      </c>
      <c r="H31" s="550"/>
      <c r="I31" s="551"/>
    </row>
    <row r="32" spans="2:9" ht="15.75" x14ac:dyDescent="0.25">
      <c r="B32" s="76" t="s">
        <v>22</v>
      </c>
      <c r="C32" s="51"/>
      <c r="D32" s="452">
        <v>2.5000000000000001E-3</v>
      </c>
      <c r="E32" s="83" t="s">
        <v>5</v>
      </c>
      <c r="F32" s="51">
        <f>D32*D29</f>
        <v>203.75</v>
      </c>
      <c r="G32" s="84" t="s">
        <v>21</v>
      </c>
      <c r="H32" s="550"/>
      <c r="I32" s="551"/>
    </row>
    <row r="33" spans="2:9" ht="15.75" x14ac:dyDescent="0.25">
      <c r="B33" s="76" t="s">
        <v>36</v>
      </c>
      <c r="C33" s="51"/>
      <c r="D33" s="452">
        <v>2E-3</v>
      </c>
      <c r="E33" s="83" t="s">
        <v>5</v>
      </c>
      <c r="F33" s="51">
        <f>D33*D29</f>
        <v>163</v>
      </c>
      <c r="G33" s="84" t="s">
        <v>21</v>
      </c>
      <c r="H33" s="550"/>
      <c r="I33" s="551"/>
    </row>
    <row r="34" spans="2:9" ht="7.5" customHeight="1" x14ac:dyDescent="0.25">
      <c r="B34" s="553"/>
      <c r="C34" s="554"/>
      <c r="D34" s="554"/>
      <c r="E34" s="554"/>
      <c r="F34" s="554"/>
      <c r="G34" s="554"/>
      <c r="H34" s="554"/>
      <c r="I34" s="555"/>
    </row>
    <row r="35" spans="2:9" ht="18.75" x14ac:dyDescent="0.3">
      <c r="B35" s="85" t="s">
        <v>23</v>
      </c>
      <c r="C35" s="66"/>
      <c r="D35" s="67" t="s">
        <v>17</v>
      </c>
      <c r="E35" s="68" t="s">
        <v>10</v>
      </c>
      <c r="F35" s="68" t="s">
        <v>24</v>
      </c>
      <c r="G35" s="548"/>
      <c r="H35" s="548"/>
      <c r="I35" s="549"/>
    </row>
    <row r="36" spans="2:9" ht="15.75" x14ac:dyDescent="0.25">
      <c r="B36" s="86" t="s">
        <v>25</v>
      </c>
      <c r="C36" s="5"/>
      <c r="D36" s="87">
        <f>H29</f>
        <v>2297.5</v>
      </c>
      <c r="E36" s="6">
        <f>D36/D5</f>
        <v>18.38</v>
      </c>
      <c r="F36" s="7">
        <f>E36/D$6</f>
        <v>0.20422222222222222</v>
      </c>
      <c r="G36" s="560"/>
      <c r="H36" s="560"/>
      <c r="I36" s="561"/>
    </row>
    <row r="37" spans="2:9" ht="15.75" x14ac:dyDescent="0.25">
      <c r="B37" s="76" t="s">
        <v>26</v>
      </c>
      <c r="D37" s="87">
        <f>I29</f>
        <v>1327.5</v>
      </c>
      <c r="E37" s="88">
        <f>D37/D5</f>
        <v>10.62</v>
      </c>
      <c r="F37" s="3">
        <f t="shared" ref="F37:F43" si="2">E37/D$6</f>
        <v>0.11799999999999999</v>
      </c>
      <c r="G37" s="542"/>
      <c r="H37" s="542"/>
      <c r="I37" s="543"/>
    </row>
    <row r="38" spans="2:9" ht="15.75" x14ac:dyDescent="0.25">
      <c r="B38" s="76" t="s">
        <v>27</v>
      </c>
      <c r="D38" s="87">
        <f>F31</f>
        <v>3993.75</v>
      </c>
      <c r="E38" s="88">
        <f>D38/D5</f>
        <v>31.95</v>
      </c>
      <c r="F38" s="3">
        <f t="shared" si="2"/>
        <v>0.35499999999999998</v>
      </c>
      <c r="G38" s="542"/>
      <c r="H38" s="542"/>
      <c r="I38" s="543"/>
    </row>
    <row r="39" spans="2:9" ht="15.75" x14ac:dyDescent="0.25">
      <c r="B39" s="76" t="s">
        <v>28</v>
      </c>
      <c r="D39" s="87">
        <f>F32+F33</f>
        <v>366.75</v>
      </c>
      <c r="E39" s="88">
        <f>D39/D5</f>
        <v>2.9340000000000002</v>
      </c>
      <c r="F39" s="3">
        <f t="shared" si="2"/>
        <v>3.2600000000000004E-2</v>
      </c>
      <c r="G39" s="542"/>
      <c r="H39" s="542"/>
      <c r="I39" s="543"/>
    </row>
    <row r="40" spans="2:9" ht="15.75" x14ac:dyDescent="0.25">
      <c r="B40" s="76" t="s">
        <v>12</v>
      </c>
      <c r="D40" s="87">
        <f>D8*(D7/60)*IF(D6*H5&lt;365,D6*H5,365)</f>
        <v>2362.5</v>
      </c>
      <c r="E40" s="88">
        <f>D40/D5</f>
        <v>18.899999999999999</v>
      </c>
      <c r="F40" s="3">
        <f t="shared" si="2"/>
        <v>0.21</v>
      </c>
      <c r="G40" s="542"/>
      <c r="H40" s="542"/>
      <c r="I40" s="543"/>
    </row>
    <row r="41" spans="2:9" ht="15.75" x14ac:dyDescent="0.25">
      <c r="B41" s="76" t="s">
        <v>13</v>
      </c>
      <c r="D41" s="87">
        <f>(D9*(D6*H5/30))</f>
        <v>375</v>
      </c>
      <c r="E41" s="88">
        <f>D41/D5</f>
        <v>3</v>
      </c>
      <c r="F41" s="3">
        <f t="shared" si="2"/>
        <v>3.3333333333333333E-2</v>
      </c>
      <c r="G41" s="542"/>
      <c r="H41" s="542"/>
      <c r="I41" s="543"/>
    </row>
    <row r="42" spans="2:9" ht="15.75" x14ac:dyDescent="0.25">
      <c r="B42" s="55" t="s">
        <v>29</v>
      </c>
      <c r="C42" s="4"/>
      <c r="D42" s="98">
        <f>D13*D6*H5</f>
        <v>563.0625</v>
      </c>
      <c r="E42" s="99">
        <f>D42/D5</f>
        <v>4.5045000000000002</v>
      </c>
      <c r="F42" s="100">
        <f t="shared" si="2"/>
        <v>5.0050000000000004E-2</v>
      </c>
      <c r="G42" s="556"/>
      <c r="H42" s="556"/>
      <c r="I42" s="557"/>
    </row>
    <row r="43" spans="2:9" ht="16.5" thickBot="1" x14ac:dyDescent="0.3">
      <c r="B43" s="89" t="s">
        <v>57</v>
      </c>
      <c r="C43" s="48"/>
      <c r="D43" s="90">
        <f>SUM(D36:D42)</f>
        <v>11286.0625</v>
      </c>
      <c r="E43" s="91">
        <f>SUM(E36:E42)</f>
        <v>90.288499999999999</v>
      </c>
      <c r="F43" s="92">
        <f t="shared" si="2"/>
        <v>1.0032055555555555</v>
      </c>
      <c r="G43" s="558"/>
      <c r="H43" s="558"/>
      <c r="I43" s="559"/>
    </row>
    <row r="44" spans="2:9" x14ac:dyDescent="0.25">
      <c r="B44" s="546"/>
      <c r="C44" s="546"/>
      <c r="D44" s="546"/>
      <c r="E44" s="546"/>
      <c r="F44" s="546"/>
      <c r="G44" s="546"/>
      <c r="H44" s="552"/>
      <c r="I44" s="552"/>
    </row>
    <row r="45" spans="2:9" x14ac:dyDescent="0.25">
      <c r="B45" s="546"/>
      <c r="C45" s="546"/>
      <c r="D45" s="546"/>
      <c r="E45" s="546"/>
      <c r="F45" s="546"/>
      <c r="G45" s="546"/>
      <c r="H45" s="552"/>
      <c r="I45" s="552"/>
    </row>
    <row r="46" spans="2:9" x14ac:dyDescent="0.25">
      <c r="B46" s="546"/>
      <c r="C46" s="546"/>
      <c r="D46" s="546"/>
      <c r="E46" s="546"/>
      <c r="F46" s="546"/>
      <c r="G46" s="546"/>
      <c r="H46" s="552"/>
      <c r="I46" s="552"/>
    </row>
    <row r="47" spans="2:9" x14ac:dyDescent="0.25">
      <c r="B47" s="546"/>
      <c r="C47" s="546"/>
      <c r="D47" s="546"/>
      <c r="E47" s="546"/>
      <c r="F47" s="546"/>
      <c r="G47" s="546"/>
      <c r="H47" s="552"/>
      <c r="I47" s="552"/>
    </row>
  </sheetData>
  <sheetProtection sheet="1" objects="1" scenarios="1"/>
  <protectedRanges>
    <protectedRange sqref="D4:D12 D31:D33 B27:B28 D27:G28" name="Edit cells"/>
    <protectedRange sqref="B17:B26 D17:G26" name="Edit cells_1"/>
  </protectedRanges>
  <mergeCells count="32">
    <mergeCell ref="B2:I2"/>
    <mergeCell ref="G37:I37"/>
    <mergeCell ref="B3:I3"/>
    <mergeCell ref="B15:B16"/>
    <mergeCell ref="D15:D16"/>
    <mergeCell ref="E15:E16"/>
    <mergeCell ref="F15:F16"/>
    <mergeCell ref="G15:G16"/>
    <mergeCell ref="H15:H16"/>
    <mergeCell ref="I15:I16"/>
    <mergeCell ref="B14:I14"/>
    <mergeCell ref="F4:I4"/>
    <mergeCell ref="F5:G5"/>
    <mergeCell ref="F6:I6"/>
    <mergeCell ref="F8:I8"/>
    <mergeCell ref="F13:I13"/>
    <mergeCell ref="G40:I40"/>
    <mergeCell ref="F9:I9"/>
    <mergeCell ref="B44:G47"/>
    <mergeCell ref="E29:G29"/>
    <mergeCell ref="G35:I35"/>
    <mergeCell ref="H32:I32"/>
    <mergeCell ref="H31:I31"/>
    <mergeCell ref="H44:I47"/>
    <mergeCell ref="B34:I34"/>
    <mergeCell ref="H33:I33"/>
    <mergeCell ref="G42:I42"/>
    <mergeCell ref="G41:I41"/>
    <mergeCell ref="G43:I43"/>
    <mergeCell ref="G39:I39"/>
    <mergeCell ref="G36:I36"/>
    <mergeCell ref="G38:I38"/>
  </mergeCells>
  <pageMargins left="0.7" right="0.7" top="0.75" bottom="0.75" header="0.3" footer="0.3"/>
  <pageSetup orientation="portrait" r:id="rId1"/>
  <customProperties>
    <customPr name="SSCSheetTrackingNo" r:id="rId2"/>
  </customProperties>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A6E18-46D7-418C-AC63-E66938E06013}">
  <dimension ref="A1:EP121"/>
  <sheetViews>
    <sheetView showGridLines="0" workbookViewId="0">
      <selection sqref="A1:F1"/>
    </sheetView>
  </sheetViews>
  <sheetFormatPr defaultColWidth="11.28515625" defaultRowHeight="18.95" customHeight="1" x14ac:dyDescent="0.25"/>
  <cols>
    <col min="1" max="6" width="11.28515625" style="216"/>
    <col min="7" max="7" width="199.7109375" style="216" customWidth="1"/>
    <col min="8" max="8" width="11.28515625" style="216"/>
    <col min="9" max="9" width="46" style="216" bestFit="1" customWidth="1"/>
    <col min="10" max="10" width="11.28515625" style="216"/>
    <col min="11" max="11" width="14.42578125" style="216" bestFit="1" customWidth="1"/>
    <col min="12" max="12" width="34.7109375" style="216" bestFit="1" customWidth="1"/>
    <col min="13" max="13" width="141.28515625" style="216" customWidth="1"/>
    <col min="14" max="16" width="11.28515625" style="216"/>
    <col min="17" max="17" width="13.42578125" style="216" customWidth="1"/>
    <col min="18" max="25" width="11.28515625" style="216"/>
    <col min="26" max="26" width="6.7109375" style="216" customWidth="1"/>
    <col min="27" max="28" width="11.28515625" style="216"/>
    <col min="29" max="29" width="14.5703125" style="216" customWidth="1"/>
    <col min="30" max="30" width="13.28515625" style="216" customWidth="1"/>
    <col min="31" max="31" width="13.140625" style="216" customWidth="1"/>
    <col min="32" max="32" width="14.5703125" style="216" customWidth="1"/>
    <col min="33" max="40" width="11.28515625" style="216"/>
    <col min="41" max="41" width="7.140625" style="216" customWidth="1"/>
    <col min="42" max="43" width="11.28515625" style="216"/>
    <col min="44" max="44" width="11" style="216" customWidth="1"/>
    <col min="45" max="45" width="8.7109375" style="216" customWidth="1"/>
    <col min="46" max="46" width="0" style="216" hidden="1" customWidth="1"/>
    <col min="47" max="47" width="16.28515625" style="216" customWidth="1"/>
    <col min="48" max="48" width="11.28515625" style="216"/>
    <col min="49" max="49" width="18.85546875" style="216" bestFit="1" customWidth="1"/>
    <col min="50" max="50" width="11.28515625" style="216"/>
    <col min="51" max="51" width="16.28515625" style="216" customWidth="1"/>
    <col min="52" max="52" width="11.28515625" style="216"/>
    <col min="53" max="53" width="16.28515625" style="216" customWidth="1"/>
    <col min="54" max="54" width="11.28515625" style="216"/>
    <col min="55" max="55" width="11.28515625" style="411"/>
    <col min="56" max="62" width="11.28515625" style="216"/>
    <col min="63" max="64" width="11.28515625" style="213"/>
    <col min="65" max="65" width="11.28515625" style="216"/>
    <col min="66" max="66" width="29.28515625" style="216" customWidth="1"/>
    <col min="67" max="67" width="19.7109375" style="216" customWidth="1"/>
    <col min="68" max="68" width="19.85546875" style="216" customWidth="1"/>
    <col min="69" max="69" width="11.28515625" style="216"/>
    <col min="70" max="73" width="0" style="216" hidden="1" customWidth="1"/>
    <col min="74" max="74" width="24.85546875" style="216" customWidth="1"/>
    <col min="75" max="75" width="15.85546875" style="216" customWidth="1"/>
    <col min="76" max="76" width="16.28515625" style="216" customWidth="1"/>
    <col min="77" max="77" width="16.5703125" style="216" customWidth="1"/>
    <col min="78" max="78" width="11.28515625" style="216"/>
    <col min="79" max="79" width="35.28515625" style="216" customWidth="1"/>
    <col min="80" max="80" width="13.28515625" style="216" customWidth="1"/>
    <col min="81" max="81" width="14" style="216" customWidth="1"/>
    <col min="82" max="82" width="11.28515625" style="216"/>
    <col min="83" max="83" width="13.7109375" style="216" customWidth="1"/>
    <col min="84" max="84" width="11.28515625" style="216"/>
    <col min="85" max="85" width="13.7109375" style="216" customWidth="1"/>
    <col min="86" max="86" width="13.5703125" style="216" customWidth="1"/>
    <col min="87" max="87" width="34.7109375" style="216" bestFit="1" customWidth="1"/>
    <col min="88" max="88" width="141.85546875" style="216" customWidth="1"/>
    <col min="89" max="90" width="11.28515625" style="216"/>
    <col min="91" max="91" width="30" style="216" customWidth="1"/>
    <col min="92" max="92" width="12.28515625" style="216" customWidth="1"/>
    <col min="93" max="93" width="15.140625" style="216" customWidth="1"/>
    <col min="94" max="97" width="11.28515625" style="216"/>
    <col min="98" max="98" width="49.28515625" style="216" customWidth="1"/>
    <col min="99" max="99" width="93.28515625" style="216" customWidth="1"/>
    <col min="100" max="100" width="11.28515625" style="216"/>
    <col min="101" max="101" width="19.42578125" style="216" customWidth="1"/>
    <col min="102" max="102" width="23" style="216" customWidth="1"/>
    <col min="103" max="103" width="12.42578125" style="216" customWidth="1"/>
    <col min="104" max="104" width="14.85546875" style="216" customWidth="1"/>
    <col min="105" max="105" width="12.140625" style="216" customWidth="1"/>
    <col min="106" max="106" width="13.28515625" style="216" customWidth="1"/>
    <col min="107" max="110" width="11.28515625" style="216"/>
    <col min="111" max="111" width="155.28515625" style="216" customWidth="1"/>
    <col min="112" max="112" width="17.85546875" style="216" customWidth="1"/>
    <col min="113" max="116" width="11.28515625" style="216"/>
    <col min="117" max="117" width="22.140625" style="216" customWidth="1"/>
    <col min="118" max="118" width="23.140625" style="216" customWidth="1"/>
    <col min="119" max="119" width="12.85546875" style="216" customWidth="1"/>
    <col min="120" max="120" width="17.5703125" style="216" customWidth="1"/>
    <col min="121" max="121" width="14.140625" style="216" customWidth="1"/>
    <col min="122" max="125" width="11.28515625" style="216"/>
    <col min="126" max="126" width="169.7109375" style="216" customWidth="1"/>
    <col min="127" max="128" width="11.28515625" style="216"/>
    <col min="129" max="129" width="18.85546875" style="216" bestFit="1" customWidth="1"/>
    <col min="130" max="130" width="29.140625" style="216" customWidth="1"/>
    <col min="131" max="131" width="11.85546875" style="216" bestFit="1" customWidth="1"/>
    <col min="132" max="132" width="12.5703125" style="216" customWidth="1"/>
    <col min="133" max="136" width="11.28515625" style="216"/>
    <col min="137" max="137" width="176.42578125" style="216" customWidth="1"/>
    <col min="138" max="140" width="11.28515625" style="216"/>
    <col min="141" max="141" width="26.28515625" style="216" bestFit="1" customWidth="1"/>
    <col min="142" max="142" width="13.28515625" style="216" customWidth="1"/>
    <col min="143" max="16384" width="11.28515625" style="216"/>
  </cols>
  <sheetData>
    <row r="1" spans="1:146" ht="24" thickBot="1" x14ac:dyDescent="0.3">
      <c r="A1" s="586" t="s">
        <v>272</v>
      </c>
      <c r="B1" s="587"/>
      <c r="C1" s="587"/>
      <c r="D1" s="587"/>
      <c r="E1" s="587"/>
      <c r="F1" s="588"/>
      <c r="G1" s="209"/>
      <c r="H1" s="210"/>
      <c r="I1" s="589" t="s">
        <v>331</v>
      </c>
      <c r="J1" s="590"/>
      <c r="K1" s="591"/>
      <c r="L1" s="592" t="s">
        <v>200</v>
      </c>
      <c r="M1" s="209"/>
      <c r="N1" s="209"/>
      <c r="O1" s="9"/>
      <c r="P1" s="593" t="s">
        <v>286</v>
      </c>
      <c r="Q1" s="594"/>
      <c r="R1" s="594"/>
      <c r="S1" s="594"/>
      <c r="T1" s="594"/>
      <c r="U1" s="594"/>
      <c r="V1" s="594"/>
      <c r="W1" s="594"/>
      <c r="X1" s="594"/>
      <c r="Y1" s="594"/>
      <c r="Z1" s="594"/>
      <c r="AA1" s="594"/>
      <c r="AB1" s="594"/>
      <c r="AC1" s="594"/>
      <c r="AD1" s="594"/>
      <c r="AE1" s="594"/>
      <c r="AF1" s="211"/>
      <c r="AG1" s="579" t="s">
        <v>200</v>
      </c>
      <c r="AH1" s="579"/>
      <c r="AI1" s="579"/>
      <c r="AJ1" s="579"/>
      <c r="AK1" s="9"/>
      <c r="AL1" s="209"/>
      <c r="AM1" s="9"/>
      <c r="AN1" s="595" t="s">
        <v>264</v>
      </c>
      <c r="AO1" s="596"/>
      <c r="AP1" s="596"/>
      <c r="AQ1" s="596"/>
      <c r="AR1" s="596"/>
      <c r="AS1" s="596"/>
      <c r="AT1" s="596"/>
      <c r="AU1" s="596"/>
      <c r="AV1" s="596"/>
      <c r="AW1" s="596"/>
      <c r="AX1" s="596"/>
      <c r="AY1" s="596"/>
      <c r="AZ1" s="596"/>
      <c r="BA1" s="596"/>
      <c r="BB1" s="596"/>
      <c r="BC1" s="596"/>
      <c r="BD1" s="596"/>
      <c r="BE1" s="596"/>
      <c r="BF1" s="597"/>
      <c r="BG1" s="579" t="s">
        <v>200</v>
      </c>
      <c r="BH1" s="579"/>
      <c r="BI1" s="579"/>
      <c r="BJ1" s="579"/>
      <c r="BM1" s="9"/>
      <c r="BN1" s="613" t="s">
        <v>327</v>
      </c>
      <c r="BO1" s="613"/>
      <c r="BP1" s="613"/>
      <c r="BQ1" s="613"/>
      <c r="BR1" s="613"/>
      <c r="BS1" s="613"/>
      <c r="BT1" s="613"/>
      <c r="BU1" s="613"/>
      <c r="BV1" s="613"/>
      <c r="BW1" s="613"/>
      <c r="BX1" s="613"/>
      <c r="BY1" s="613"/>
      <c r="BZ1" s="613"/>
      <c r="CA1" s="613"/>
      <c r="CB1" s="613"/>
      <c r="CC1" s="613"/>
      <c r="CD1" s="613"/>
      <c r="CE1" s="613"/>
      <c r="CF1" s="613"/>
      <c r="CG1" s="613"/>
      <c r="CH1" s="613"/>
      <c r="CI1" s="579" t="s">
        <v>200</v>
      </c>
      <c r="CJ1" s="214"/>
      <c r="CK1" s="214"/>
      <c r="CL1" s="215"/>
      <c r="CM1" s="580" t="s">
        <v>203</v>
      </c>
      <c r="CN1" s="581"/>
      <c r="CO1" s="582"/>
      <c r="CP1" s="579" t="s">
        <v>200</v>
      </c>
      <c r="CQ1" s="579"/>
      <c r="CR1" s="579"/>
      <c r="CS1" s="579"/>
      <c r="CV1" s="9"/>
      <c r="CW1" s="583" t="s">
        <v>281</v>
      </c>
      <c r="CX1" s="584"/>
      <c r="CY1" s="584"/>
      <c r="CZ1" s="584"/>
      <c r="DA1" s="584"/>
      <c r="DB1" s="585"/>
      <c r="DC1" s="579" t="s">
        <v>200</v>
      </c>
      <c r="DD1" s="579"/>
      <c r="DE1" s="579"/>
      <c r="DF1" s="579"/>
      <c r="DI1" s="9"/>
      <c r="DJ1" s="583" t="s">
        <v>196</v>
      </c>
      <c r="DK1" s="584"/>
      <c r="DL1" s="584"/>
      <c r="DM1" s="584"/>
      <c r="DN1" s="584"/>
      <c r="DO1" s="584"/>
      <c r="DP1" s="584"/>
      <c r="DQ1" s="585"/>
      <c r="DR1" s="579" t="s">
        <v>200</v>
      </c>
      <c r="DS1" s="579"/>
      <c r="DT1" s="579"/>
      <c r="DU1" s="579"/>
      <c r="DX1" s="9"/>
      <c r="DY1" s="610" t="s">
        <v>246</v>
      </c>
      <c r="DZ1" s="611"/>
      <c r="EA1" s="611"/>
      <c r="EB1" s="612"/>
      <c r="EC1" s="579" t="s">
        <v>200</v>
      </c>
      <c r="ED1" s="579"/>
      <c r="EE1" s="579"/>
      <c r="EF1" s="579"/>
      <c r="EJ1" s="9"/>
      <c r="EK1" s="610" t="s">
        <v>253</v>
      </c>
      <c r="EL1" s="612"/>
      <c r="EM1" s="579" t="s">
        <v>200</v>
      </c>
      <c r="EN1" s="579"/>
      <c r="EO1" s="579"/>
      <c r="EP1" s="579"/>
    </row>
    <row r="2" spans="1:146" s="183" customFormat="1" ht="45.75" thickBot="1" x14ac:dyDescent="0.3">
      <c r="A2" s="598" t="s">
        <v>331</v>
      </c>
      <c r="B2" s="599"/>
      <c r="C2" s="599"/>
      <c r="D2" s="599"/>
      <c r="E2" s="599"/>
      <c r="F2" s="600"/>
      <c r="G2" s="164"/>
      <c r="H2" s="165"/>
      <c r="I2" s="490" t="s">
        <v>249</v>
      </c>
      <c r="J2" s="491" t="s">
        <v>332</v>
      </c>
      <c r="K2" s="492" t="s">
        <v>333</v>
      </c>
      <c r="L2" s="592"/>
      <c r="M2" s="164"/>
      <c r="N2" s="164"/>
      <c r="O2" s="166"/>
      <c r="P2" s="163" t="s">
        <v>188</v>
      </c>
      <c r="Q2" s="167" t="s">
        <v>109</v>
      </c>
      <c r="R2" s="167" t="s">
        <v>412</v>
      </c>
      <c r="S2" s="167" t="s">
        <v>107</v>
      </c>
      <c r="T2" s="167" t="s">
        <v>413</v>
      </c>
      <c r="U2" s="167" t="s">
        <v>282</v>
      </c>
      <c r="V2" s="168" t="s">
        <v>285</v>
      </c>
      <c r="W2" s="169" t="s">
        <v>185</v>
      </c>
      <c r="X2" s="170" t="s">
        <v>108</v>
      </c>
      <c r="Y2" s="171" t="s">
        <v>414</v>
      </c>
      <c r="Z2" s="170" t="s">
        <v>350</v>
      </c>
      <c r="AA2" s="170" t="s">
        <v>412</v>
      </c>
      <c r="AB2" s="170" t="s">
        <v>287</v>
      </c>
      <c r="AC2" s="170" t="s">
        <v>185</v>
      </c>
      <c r="AD2" s="170" t="s">
        <v>108</v>
      </c>
      <c r="AE2" s="170" t="s">
        <v>414</v>
      </c>
      <c r="AF2" s="171" t="s">
        <v>137</v>
      </c>
      <c r="AG2" s="579"/>
      <c r="AH2" s="579"/>
      <c r="AI2" s="579"/>
      <c r="AJ2" s="579"/>
      <c r="AK2" s="166"/>
      <c r="AL2" s="164"/>
      <c r="AM2" s="166"/>
      <c r="AN2" s="601" t="s">
        <v>278</v>
      </c>
      <c r="AO2" s="602"/>
      <c r="AP2" s="602"/>
      <c r="AQ2" s="603"/>
      <c r="AR2" s="517"/>
      <c r="AS2" s="604"/>
      <c r="AT2" s="605"/>
      <c r="AU2" s="606"/>
      <c r="AV2" s="604"/>
      <c r="AW2" s="606"/>
      <c r="AX2" s="604"/>
      <c r="AY2" s="606"/>
      <c r="AZ2" s="604"/>
      <c r="BA2" s="605"/>
      <c r="BB2" s="607" t="s">
        <v>187</v>
      </c>
      <c r="BC2" s="608"/>
      <c r="BD2" s="608"/>
      <c r="BE2" s="608"/>
      <c r="BF2" s="609"/>
      <c r="BG2" s="579"/>
      <c r="BH2" s="579"/>
      <c r="BI2" s="579"/>
      <c r="BJ2" s="579"/>
      <c r="BK2" s="173"/>
      <c r="BL2" s="173"/>
      <c r="BM2" s="166"/>
      <c r="BN2" s="494" t="s">
        <v>345</v>
      </c>
      <c r="BO2" s="495">
        <f>MIN(AP6:AP55)</f>
        <v>0</v>
      </c>
      <c r="BP2" s="496" t="s">
        <v>346</v>
      </c>
      <c r="BQ2" s="495">
        <f>MAX(AR2:BB2)</f>
        <v>0</v>
      </c>
      <c r="BR2" s="177"/>
      <c r="BS2" s="177"/>
      <c r="BT2" s="177"/>
      <c r="BU2" s="177"/>
      <c r="BV2" s="166"/>
      <c r="BW2" s="166"/>
      <c r="BX2" s="166"/>
      <c r="BY2" s="166"/>
      <c r="BZ2" s="166"/>
      <c r="CA2" s="166"/>
      <c r="CB2" s="166"/>
      <c r="CC2" s="166"/>
      <c r="CD2" s="166"/>
      <c r="CE2" s="166"/>
      <c r="CF2" s="166"/>
      <c r="CG2" s="166"/>
      <c r="CH2" s="166"/>
      <c r="CI2" s="579"/>
      <c r="CJ2" s="178"/>
      <c r="CK2" s="178"/>
      <c r="CL2" s="179"/>
      <c r="CM2" s="180" t="s">
        <v>220</v>
      </c>
      <c r="CN2" s="181" t="s">
        <v>296</v>
      </c>
      <c r="CO2" s="182" t="s">
        <v>329</v>
      </c>
      <c r="CP2" s="579"/>
      <c r="CQ2" s="579"/>
      <c r="CR2" s="579"/>
      <c r="CS2" s="579"/>
      <c r="CV2" s="166"/>
      <c r="CW2" s="184" t="s">
        <v>304</v>
      </c>
      <c r="CX2" s="185" t="s">
        <v>305</v>
      </c>
      <c r="CY2" s="185" t="s">
        <v>415</v>
      </c>
      <c r="CZ2" s="185" t="s">
        <v>310</v>
      </c>
      <c r="DA2" s="185" t="s">
        <v>416</v>
      </c>
      <c r="DB2" s="186" t="s">
        <v>197</v>
      </c>
      <c r="DC2" s="579"/>
      <c r="DD2" s="579"/>
      <c r="DE2" s="579"/>
      <c r="DF2" s="579"/>
      <c r="DI2" s="166"/>
      <c r="DJ2" s="184" t="s">
        <v>195</v>
      </c>
      <c r="DK2" s="185" t="s">
        <v>348</v>
      </c>
      <c r="DL2" s="185" t="s">
        <v>349</v>
      </c>
      <c r="DM2" s="185" t="s">
        <v>322</v>
      </c>
      <c r="DN2" s="185" t="s">
        <v>321</v>
      </c>
      <c r="DO2" s="190" t="s">
        <v>417</v>
      </c>
      <c r="DP2" s="185" t="s">
        <v>199</v>
      </c>
      <c r="DQ2" s="186" t="s">
        <v>197</v>
      </c>
      <c r="DR2" s="579"/>
      <c r="DS2" s="579"/>
      <c r="DT2" s="579"/>
      <c r="DU2" s="579"/>
      <c r="DX2" s="166"/>
      <c r="DY2" s="163" t="s">
        <v>249</v>
      </c>
      <c r="DZ2" s="167" t="s">
        <v>110</v>
      </c>
      <c r="EA2" s="167"/>
      <c r="EB2" s="187"/>
      <c r="EC2" s="579"/>
      <c r="ED2" s="579"/>
      <c r="EE2" s="579"/>
      <c r="EF2" s="579"/>
      <c r="EJ2" s="166"/>
      <c r="EK2" s="188" t="s">
        <v>249</v>
      </c>
      <c r="EL2" s="189" t="s">
        <v>258</v>
      </c>
      <c r="EM2" s="579"/>
      <c r="EN2" s="579"/>
      <c r="EO2" s="579"/>
      <c r="EP2" s="579"/>
    </row>
    <row r="3" spans="1:146" ht="18.95" hidden="1" customHeight="1" x14ac:dyDescent="0.25">
      <c r="A3" s="614"/>
      <c r="B3" s="615"/>
      <c r="C3" s="615"/>
      <c r="D3" s="615"/>
      <c r="E3" s="615"/>
      <c r="F3" s="616"/>
      <c r="G3" s="209"/>
      <c r="H3" s="210"/>
      <c r="I3" s="220"/>
      <c r="J3" s="210"/>
      <c r="K3" s="221"/>
      <c r="L3" s="210"/>
      <c r="M3" s="209"/>
      <c r="N3" s="209"/>
      <c r="O3" s="9"/>
      <c r="P3" s="222"/>
      <c r="Q3" s="223"/>
      <c r="R3" s="223"/>
      <c r="S3" s="223"/>
      <c r="T3" s="223"/>
      <c r="U3" s="223"/>
      <c r="V3" s="224"/>
      <c r="W3" s="225"/>
      <c r="X3" s="226"/>
      <c r="Y3" s="227"/>
      <c r="Z3" s="226"/>
      <c r="AA3" s="226"/>
      <c r="AB3" s="226"/>
      <c r="AC3" s="226"/>
      <c r="AD3" s="226"/>
      <c r="AE3" s="226"/>
      <c r="AF3" s="226"/>
      <c r="AG3" s="212"/>
      <c r="AH3" s="212"/>
      <c r="AI3" s="212"/>
      <c r="AJ3" s="212"/>
      <c r="AK3" s="9"/>
      <c r="AL3" s="209"/>
      <c r="AM3" s="9"/>
      <c r="AN3" s="228"/>
      <c r="AO3" s="229" t="s">
        <v>347</v>
      </c>
      <c r="AP3" s="229"/>
      <c r="AQ3" s="229"/>
      <c r="AR3" s="230">
        <v>1</v>
      </c>
      <c r="AS3" s="230">
        <v>2</v>
      </c>
      <c r="AT3" s="231"/>
      <c r="AU3" s="232"/>
      <c r="AV3" s="230">
        <v>3</v>
      </c>
      <c r="AW3" s="232"/>
      <c r="AX3" s="230">
        <v>4</v>
      </c>
      <c r="AY3" s="232"/>
      <c r="AZ3" s="230">
        <v>5</v>
      </c>
      <c r="BA3" s="231"/>
      <c r="BB3" s="233"/>
      <c r="BC3" s="509"/>
      <c r="BD3" s="234"/>
      <c r="BE3" s="234"/>
      <c r="BF3" s="235"/>
      <c r="BG3" s="212"/>
      <c r="BH3" s="212"/>
      <c r="BI3" s="212"/>
      <c r="BJ3" s="212"/>
      <c r="BM3" s="9"/>
      <c r="BN3" s="9"/>
      <c r="BO3" s="9"/>
      <c r="BP3" s="9"/>
      <c r="BQ3" s="9"/>
      <c r="BR3" s="9"/>
      <c r="BS3" s="9"/>
      <c r="BT3" s="9"/>
      <c r="BU3" s="9"/>
      <c r="BV3" s="9"/>
      <c r="BW3" s="9"/>
      <c r="BX3" s="9"/>
      <c r="BY3" s="9"/>
      <c r="BZ3" s="9"/>
      <c r="CA3" s="9"/>
      <c r="CB3" s="9"/>
      <c r="CC3" s="9"/>
      <c r="CD3" s="9"/>
      <c r="CE3" s="9"/>
      <c r="CF3" s="9"/>
      <c r="CG3" s="9"/>
      <c r="CH3" s="9"/>
      <c r="CI3" s="9"/>
      <c r="CL3" s="9"/>
      <c r="CM3" s="236"/>
      <c r="CN3" s="237"/>
      <c r="CO3" s="238"/>
      <c r="CP3" s="212"/>
      <c r="CQ3" s="212"/>
      <c r="CR3" s="212"/>
      <c r="CS3" s="212"/>
      <c r="CV3" s="9"/>
      <c r="CW3" s="239"/>
      <c r="CX3" s="12"/>
      <c r="CY3" s="12"/>
      <c r="CZ3" s="12"/>
      <c r="DA3" s="12"/>
      <c r="DB3" s="240"/>
      <c r="DC3" s="212"/>
      <c r="DD3" s="212"/>
      <c r="DE3" s="212"/>
      <c r="DF3" s="212"/>
      <c r="DI3" s="9"/>
      <c r="DJ3" s="239"/>
      <c r="DK3" s="12"/>
      <c r="DL3" s="12"/>
      <c r="DM3" s="12"/>
      <c r="DN3" s="12"/>
      <c r="DO3" s="12"/>
      <c r="DP3" s="12"/>
      <c r="DQ3" s="240"/>
      <c r="DR3" s="212"/>
      <c r="DS3" s="212"/>
      <c r="DT3" s="212"/>
      <c r="DU3" s="212"/>
      <c r="DX3" s="9"/>
      <c r="DY3" s="222"/>
      <c r="DZ3" s="223"/>
      <c r="EA3" s="223"/>
      <c r="EB3" s="241"/>
      <c r="EC3" s="212"/>
      <c r="ED3" s="212"/>
      <c r="EE3" s="212"/>
      <c r="EF3" s="212"/>
      <c r="EJ3" s="9"/>
      <c r="EK3" s="242"/>
      <c r="EL3" s="243"/>
      <c r="EM3" s="212"/>
      <c r="EN3" s="212"/>
      <c r="EO3" s="212"/>
      <c r="EP3" s="212"/>
    </row>
    <row r="4" spans="1:146" ht="21" hidden="1" customHeight="1" thickBot="1" x14ac:dyDescent="0.3">
      <c r="A4" s="217"/>
      <c r="B4" s="218"/>
      <c r="C4" s="218"/>
      <c r="D4" s="218"/>
      <c r="E4" s="218"/>
      <c r="F4" s="219"/>
      <c r="G4" s="244"/>
      <c r="H4" s="245"/>
      <c r="I4" s="246"/>
      <c r="J4" s="247"/>
      <c r="K4" s="248"/>
      <c r="L4" s="245"/>
      <c r="M4" s="244"/>
      <c r="N4" s="244"/>
      <c r="O4" s="9"/>
      <c r="P4" s="222"/>
      <c r="R4" s="223"/>
      <c r="S4" s="223"/>
      <c r="T4" s="223"/>
      <c r="U4" s="223"/>
      <c r="V4" s="224"/>
      <c r="W4" s="225"/>
      <c r="X4" s="226"/>
      <c r="Y4" s="227"/>
      <c r="Z4" s="226"/>
      <c r="AA4" s="226"/>
      <c r="AB4" s="226"/>
      <c r="AC4" s="226"/>
      <c r="AD4" s="226"/>
      <c r="AE4" s="226"/>
      <c r="AF4" s="226"/>
      <c r="AG4" s="212"/>
      <c r="AH4" s="212"/>
      <c r="AI4" s="212"/>
      <c r="AJ4" s="212"/>
      <c r="AK4" s="9"/>
      <c r="AL4" s="244"/>
      <c r="AM4" s="9"/>
      <c r="AN4" s="228"/>
      <c r="AO4" s="249" t="str">
        <f>V15</f>
        <v>-</v>
      </c>
      <c r="AP4" s="250" t="e">
        <f>AVERAGE(AP6:AP55)</f>
        <v>#DIV/0!</v>
      </c>
      <c r="AQ4" s="229"/>
      <c r="AR4" s="251"/>
      <c r="AS4" s="252"/>
      <c r="AT4" s="234"/>
      <c r="AU4" s="232">
        <f>IF(ISBLANK(AS2),0,DAYS360($AR$2,AS2,FALSE))</f>
        <v>0</v>
      </c>
      <c r="AV4" s="252"/>
      <c r="AW4" s="232">
        <f>IF(ISBLANK(AV2),0,DAYS360(AS2,AV2,FALSE))</f>
        <v>0</v>
      </c>
      <c r="AX4" s="252"/>
      <c r="AY4" s="232">
        <f>IF(ISBLANK(AX2),0,DAYS360(AV2,AX2,FALSE))</f>
        <v>0</v>
      </c>
      <c r="AZ4" s="252"/>
      <c r="BA4" s="253">
        <f>DAYS360(MAX(AR2,AS2,AV2,AX2),AZ2,FALSE)</f>
        <v>0</v>
      </c>
      <c r="BB4" s="233">
        <f>IF(ISBLANK(AZ2),0,DAYS360($AR$2,AZ2,FALSE))</f>
        <v>0</v>
      </c>
      <c r="BC4" s="510"/>
      <c r="BD4" s="234"/>
      <c r="BE4" s="234"/>
      <c r="BF4" s="235"/>
      <c r="BG4" s="9"/>
      <c r="BH4" s="9"/>
      <c r="BI4" s="9"/>
      <c r="BJ4" s="9"/>
      <c r="BM4" s="9"/>
      <c r="BN4" s="9"/>
      <c r="BO4" s="9"/>
      <c r="BP4" s="9"/>
      <c r="BQ4" s="9"/>
      <c r="BR4" s="9"/>
      <c r="BS4" s="9"/>
      <c r="BT4" s="9"/>
      <c r="BU4" s="9"/>
      <c r="BV4" s="9"/>
      <c r="BW4" s="9"/>
      <c r="BX4" s="9"/>
      <c r="BY4" s="9"/>
      <c r="BZ4" s="9"/>
      <c r="CA4" s="9"/>
      <c r="CB4" s="9"/>
      <c r="CC4" s="9"/>
      <c r="CD4" s="9"/>
      <c r="CE4" s="9"/>
      <c r="CF4" s="9"/>
      <c r="CG4" s="9"/>
      <c r="CH4" s="9"/>
      <c r="CI4" s="9"/>
      <c r="CL4" s="9"/>
      <c r="CM4" s="254" t="s">
        <v>223</v>
      </c>
      <c r="CN4" s="255"/>
      <c r="CO4" s="256">
        <v>6.75</v>
      </c>
      <c r="CP4" s="212"/>
      <c r="CQ4" s="212"/>
      <c r="CR4" s="212"/>
      <c r="CS4" s="212"/>
      <c r="CV4" s="9"/>
      <c r="CW4" s="239"/>
      <c r="CX4" s="12"/>
      <c r="CY4" s="12"/>
      <c r="CZ4" s="12"/>
      <c r="DA4" s="12"/>
      <c r="DB4" s="240"/>
      <c r="DC4" s="212"/>
      <c r="DD4" s="212"/>
      <c r="DE4" s="212"/>
      <c r="DF4" s="212"/>
      <c r="DI4" s="9"/>
      <c r="DJ4" s="239"/>
      <c r="DK4" s="12"/>
      <c r="DL4" s="12"/>
      <c r="DM4" s="12"/>
      <c r="DN4" s="12"/>
      <c r="DO4" s="12"/>
      <c r="DP4" s="12"/>
      <c r="DQ4" s="240"/>
      <c r="DR4" s="212"/>
      <c r="DS4" s="212"/>
      <c r="DT4" s="212"/>
      <c r="DU4" s="212"/>
      <c r="DX4" s="9"/>
      <c r="DY4" s="222"/>
      <c r="DZ4" s="223"/>
      <c r="EA4" s="223"/>
      <c r="EB4" s="241"/>
      <c r="EC4" s="212"/>
      <c r="ED4" s="212"/>
      <c r="EE4" s="212"/>
      <c r="EF4" s="212"/>
      <c r="EJ4" s="9"/>
      <c r="EK4" s="242"/>
      <c r="EL4" s="243"/>
      <c r="EM4" s="212"/>
      <c r="EN4" s="212"/>
      <c r="EO4" s="212"/>
      <c r="EP4" s="212"/>
    </row>
    <row r="5" spans="1:146" ht="31.5" x14ac:dyDescent="0.25">
      <c r="A5" s="614" t="s">
        <v>186</v>
      </c>
      <c r="B5" s="615"/>
      <c r="C5" s="615"/>
      <c r="D5" s="615"/>
      <c r="E5" s="615"/>
      <c r="F5" s="616"/>
      <c r="G5" s="244"/>
      <c r="H5" s="245"/>
      <c r="I5" s="257" t="s">
        <v>334</v>
      </c>
      <c r="J5" s="456"/>
      <c r="K5" s="258" t="s">
        <v>54</v>
      </c>
      <c r="L5" s="245"/>
      <c r="M5" s="244"/>
      <c r="N5" s="244"/>
      <c r="O5" s="259">
        <f>R5</f>
        <v>0</v>
      </c>
      <c r="P5" s="260">
        <v>1</v>
      </c>
      <c r="Q5" s="461"/>
      <c r="R5" s="261">
        <f>U5-T5+IF(ISBLANK(T5),0,1)</f>
        <v>0</v>
      </c>
      <c r="S5" s="463"/>
      <c r="T5" s="464"/>
      <c r="U5" s="465"/>
      <c r="V5" s="466"/>
      <c r="W5" s="467"/>
      <c r="X5" s="262">
        <f>IFERROR(V5/100*W5*R5,0)</f>
        <v>0</v>
      </c>
      <c r="Y5" s="263" t="str">
        <f>IFERROR(X5/R5,"-")</f>
        <v>-</v>
      </c>
      <c r="Z5" s="264">
        <v>1</v>
      </c>
      <c r="AA5" s="474"/>
      <c r="AB5" s="474"/>
      <c r="AC5" s="467"/>
      <c r="AD5" s="262">
        <f>IFERROR(AB5/100*AC5*R5,0)</f>
        <v>0</v>
      </c>
      <c r="AE5" s="265" t="str">
        <f>IFERROR(AD5/R5,"-")</f>
        <v>-</v>
      </c>
      <c r="AF5" s="266" t="str">
        <f>IFERROR(IF(AE5&lt;1,0,AE5-Y5-$CO$18),"-")</f>
        <v>-</v>
      </c>
      <c r="AG5" s="212"/>
      <c r="AH5" s="212"/>
      <c r="AI5" s="212"/>
      <c r="AJ5" s="212"/>
      <c r="AK5" s="9"/>
      <c r="AL5" s="244"/>
      <c r="AM5" s="9"/>
      <c r="AN5" s="267" t="s">
        <v>129</v>
      </c>
      <c r="AO5" s="185" t="s">
        <v>188</v>
      </c>
      <c r="AP5" s="268" t="s">
        <v>189</v>
      </c>
      <c r="AQ5" s="268" t="s">
        <v>136</v>
      </c>
      <c r="AR5" s="520" t="s">
        <v>423</v>
      </c>
      <c r="AS5" s="269" t="s">
        <v>131</v>
      </c>
      <c r="AT5" s="268" t="s">
        <v>279</v>
      </c>
      <c r="AU5" s="518" t="s">
        <v>130</v>
      </c>
      <c r="AV5" s="269" t="s">
        <v>132</v>
      </c>
      <c r="AW5" s="518" t="s">
        <v>130</v>
      </c>
      <c r="AX5" s="269" t="s">
        <v>133</v>
      </c>
      <c r="AY5" s="518" t="s">
        <v>130</v>
      </c>
      <c r="AZ5" s="269" t="s">
        <v>365</v>
      </c>
      <c r="BA5" s="519" t="s">
        <v>130</v>
      </c>
      <c r="BB5" s="271" t="s">
        <v>102</v>
      </c>
      <c r="BC5" s="511" t="s">
        <v>280</v>
      </c>
      <c r="BD5" s="190" t="s">
        <v>134</v>
      </c>
      <c r="BE5" s="190" t="s">
        <v>194</v>
      </c>
      <c r="BF5" s="272" t="s">
        <v>137</v>
      </c>
      <c r="BG5" s="9"/>
      <c r="BH5" s="9"/>
      <c r="BI5" s="9"/>
      <c r="BJ5" s="9"/>
      <c r="BM5" s="9"/>
      <c r="BN5" s="617" t="s">
        <v>219</v>
      </c>
      <c r="BO5" s="618"/>
      <c r="BP5" s="618"/>
      <c r="BQ5" s="618"/>
      <c r="BR5" s="618"/>
      <c r="BS5" s="618"/>
      <c r="BT5" s="618"/>
      <c r="BU5" s="618"/>
      <c r="BV5" s="618"/>
      <c r="BW5" s="618"/>
      <c r="BX5" s="618"/>
      <c r="BY5" s="619"/>
      <c r="BZ5" s="9"/>
      <c r="CA5" s="273" t="str">
        <f>IF(BN7=$BN$17,"-",BN7)</f>
        <v>-</v>
      </c>
      <c r="CB5" s="54" t="s">
        <v>328</v>
      </c>
      <c r="CC5" s="54" t="s">
        <v>205</v>
      </c>
      <c r="CD5" s="54" t="s">
        <v>95</v>
      </c>
      <c r="CE5" s="54" t="s">
        <v>326</v>
      </c>
      <c r="CF5" s="54" t="s">
        <v>206</v>
      </c>
      <c r="CG5" s="54" t="s">
        <v>234</v>
      </c>
      <c r="CH5" s="274" t="s">
        <v>209</v>
      </c>
      <c r="CI5" s="9"/>
      <c r="CL5" s="9"/>
      <c r="CM5" s="254" t="str">
        <f>CA5</f>
        <v>-</v>
      </c>
      <c r="CN5" s="275">
        <f>BQ7</f>
        <v>0</v>
      </c>
      <c r="CO5" s="276">
        <f>CG13</f>
        <v>0</v>
      </c>
      <c r="CP5" s="277">
        <f>CE13</f>
        <v>0</v>
      </c>
      <c r="CQ5" s="277">
        <f>IFERROR(CH14,0)</f>
        <v>0</v>
      </c>
      <c r="CR5" s="212"/>
      <c r="CS5" s="212"/>
      <c r="CV5" s="9"/>
      <c r="CW5" s="484"/>
      <c r="CX5" s="485"/>
      <c r="CY5" s="487"/>
      <c r="CZ5" s="487"/>
      <c r="DA5" s="485"/>
      <c r="DB5" s="278">
        <f>DA5*CY5</f>
        <v>0</v>
      </c>
      <c r="DC5" s="212"/>
      <c r="DD5" s="212"/>
      <c r="DE5" s="212"/>
      <c r="DF5" s="212"/>
      <c r="DI5" s="9"/>
      <c r="DJ5" s="484"/>
      <c r="DK5" s="489"/>
      <c r="DL5" s="9" t="str">
        <f t="shared" ref="DL5:DL29" si="0">IFERROR(VLOOKUP(DJ5,$AN$6:$AQ$55,4,FALSE),"-")</f>
        <v>-</v>
      </c>
      <c r="DM5" s="485"/>
      <c r="DN5" s="485"/>
      <c r="DO5" s="279" t="str">
        <f>IFERROR(VLOOKUP(DN5,$CW$5:$DA$18,3,FALSE),"")</f>
        <v/>
      </c>
      <c r="DP5" s="485"/>
      <c r="DQ5" s="278" t="str">
        <f>IFERROR(DP5*DO5,"")</f>
        <v/>
      </c>
      <c r="DR5" s="212"/>
      <c r="DS5" s="280">
        <f>AR2</f>
        <v>0</v>
      </c>
      <c r="DT5" s="212"/>
      <c r="DU5" s="212"/>
      <c r="DX5" s="9"/>
      <c r="DY5" s="620" t="s">
        <v>247</v>
      </c>
      <c r="DZ5" s="621"/>
      <c r="EA5" s="621"/>
      <c r="EB5" s="622"/>
      <c r="EC5" s="212"/>
      <c r="ED5" s="212"/>
      <c r="EE5" s="212"/>
      <c r="EF5" s="212"/>
      <c r="EJ5" s="9"/>
      <c r="EK5" s="281" t="s">
        <v>269</v>
      </c>
      <c r="EL5" s="282" t="str">
        <f>IFERROR(EL6*R15,"-")</f>
        <v>-</v>
      </c>
      <c r="EM5" s="212"/>
      <c r="EN5" s="212"/>
      <c r="EO5" s="212"/>
      <c r="EP5" s="212"/>
    </row>
    <row r="6" spans="1:146" ht="30" x14ac:dyDescent="0.25">
      <c r="A6" s="614" t="s">
        <v>284</v>
      </c>
      <c r="B6" s="615"/>
      <c r="C6" s="615"/>
      <c r="D6" s="615"/>
      <c r="E6" s="615"/>
      <c r="F6" s="616"/>
      <c r="G6" s="283"/>
      <c r="H6" s="284"/>
      <c r="I6" s="285" t="s">
        <v>335</v>
      </c>
      <c r="J6" s="456"/>
      <c r="K6" s="286" t="s">
        <v>46</v>
      </c>
      <c r="L6" s="284"/>
      <c r="M6" s="283"/>
      <c r="N6" s="283"/>
      <c r="O6" s="259">
        <f>R5+R6</f>
        <v>0</v>
      </c>
      <c r="P6" s="260">
        <v>2</v>
      </c>
      <c r="Q6" s="461"/>
      <c r="R6" s="287">
        <f t="shared" ref="R6:R14" si="1">U6-T6+IF(ISBLANK(T6),0,1)</f>
        <v>0</v>
      </c>
      <c r="S6" s="467"/>
      <c r="T6" s="464"/>
      <c r="U6" s="465"/>
      <c r="V6" s="466"/>
      <c r="W6" s="467"/>
      <c r="X6" s="262">
        <f t="shared" ref="X6:X14" si="2">IFERROR(V6/100*W6*R6,0)</f>
        <v>0</v>
      </c>
      <c r="Y6" s="263" t="str">
        <f t="shared" ref="Y6:Y14" si="3">IFERROR(X6/R6,"-")</f>
        <v>-</v>
      </c>
      <c r="Z6" s="264">
        <v>2</v>
      </c>
      <c r="AA6" s="474"/>
      <c r="AB6" s="474"/>
      <c r="AC6" s="467"/>
      <c r="AD6" s="262">
        <f t="shared" ref="AD6:AD14" si="4">IFERROR(AB6/100*AC6*R6,0)</f>
        <v>0</v>
      </c>
      <c r="AE6" s="265" t="str">
        <f t="shared" ref="AE6:AE14" si="5">IFERROR(AD6/R6,"-")</f>
        <v>-</v>
      </c>
      <c r="AF6" s="266" t="str">
        <f t="shared" ref="AF6:AF14" si="6">IFERROR(IF(AE6&lt;1,0,AE6-Y6-$CO$18),"-")</f>
        <v>-</v>
      </c>
      <c r="AG6" s="9"/>
      <c r="AH6" s="9"/>
      <c r="AI6" s="9"/>
      <c r="AJ6" s="9"/>
      <c r="AK6" s="9"/>
      <c r="AL6" s="283"/>
      <c r="AM6" s="259">
        <v>1</v>
      </c>
      <c r="AN6" s="288">
        <f>T5</f>
        <v>0</v>
      </c>
      <c r="AO6" s="9" t="str">
        <f>IF(AM6&lt;=$O$5,$P$5,IF(AM6&lt;=$O$6,$P$6,IF(AM6&lt;=$O$7,$P$7,IF(AM6&lt;=$O$8,$P$8,IF(AM6&lt;=$O$9,$P$9,IF(AM6&lt;=$O$10,$P$10,IF(AM6&lt;=$O$11,$P$11,IF(AM6&lt;=$O$12,$P$12,IF(AM6&lt;=$O13,$P13,IF(AM6&lt;=$O$14,$P$14,"-"))))))))))</f>
        <v>-</v>
      </c>
      <c r="AP6" s="289" t="str">
        <f>IFERROR(VLOOKUP(AO6,$P$5:$Q$14,2,FALSE),"-")</f>
        <v>-</v>
      </c>
      <c r="AQ6" s="9" t="str">
        <f>IFERROR(VLOOKUP(AO6,$P$5:$S$14,4,FALSE),"-")</f>
        <v>-</v>
      </c>
      <c r="AR6" s="453"/>
      <c r="AS6" s="453"/>
      <c r="AT6" s="229" t="str">
        <f>IFERROR($AS$2-AP6,"-")</f>
        <v>-</v>
      </c>
      <c r="AU6" s="290" t="str">
        <f>IFERROR(IF((AS6-AR6)/AT6&lt;-3,"CHECK INPUTS",(AS6-AR6)/AT6),"N/A")</f>
        <v>N/A</v>
      </c>
      <c r="AV6" s="453"/>
      <c r="AW6" s="290" t="str">
        <f t="shared" ref="AW6:AW55" si="7">IFERROR(IF((AV6-AS6)/AW$4&lt;-3,"CHECK INPUTS",IF((AV6-AS6)/AW$4&gt;0,(AV6-AS6)/AW$4,"-")),"N/A")</f>
        <v>N/A</v>
      </c>
      <c r="AX6" s="453"/>
      <c r="AY6" s="290" t="str">
        <f>IFERROR(IF((AX6-AV6)/AY$4&lt;-3,"CHECK INPUTS",IF((AX6-AV6)/AY$4&gt;0,(AX6-AV6)/AY$4,"-")),"N/A")</f>
        <v>N/A</v>
      </c>
      <c r="AZ6" s="453"/>
      <c r="BA6" s="291" t="str">
        <f>IFERROR(IF((AZ6-AX6)/BA$4&lt;-3,"CHECK INPUTS",IF((AZ6-AX6)/BA$4&gt;0,(AZ6-AX6)/BA$4,"-")),"N/A")</f>
        <v>N/A</v>
      </c>
      <c r="BB6" s="292" t="str">
        <f>IF(ISERROR(MAX(AZ6,AX6,AV6,AS6,AR6)-AR6),"-",IF(MAX(AZ6,AX6,AV6,AS6,AR6)-AR6=0,"-",MAX(AZ6,AX6,AV6,AS6,AR6)-AR6))</f>
        <v>-</v>
      </c>
      <c r="BC6" s="512" t="str">
        <f>IFERROR(MAX($AR$2,$AS$2,$AV$2,$AX$2,$AZ$2)-AP6,"-")</f>
        <v>-</v>
      </c>
      <c r="BD6" s="293" t="str">
        <f>IFERROR(IF((MAX(AZ6,AX6,AV6,AS6,AR6)-AR6)/BC6&gt;0,(MAX(AZ6,AX6,AV6,AS6,AR6)-AR6)/BC6,"-"),"-")</f>
        <v>-</v>
      </c>
      <c r="BE6" s="293" t="str">
        <f>IF(SUMIF($DJ$5:$DJ$30,AN6,$DQ$5:$DQ$30)&gt;0,SUMIF($DJ$5:$DJ$30,AN6,$DQ$5:$DQ$30),"-")</f>
        <v>-</v>
      </c>
      <c r="BF6" s="294" t="str">
        <f>IFERROR(IF(ISBLANK(AR6),"-",IF(OR(AR6=$AR$57,AS6=$AR$57,AV6=$AR$57,AX6=$AR$57,AZ6=$AR$57),-VLOOKUP(AO6,$P$5:$Y$14,10,FALSE)-BC6*$CO$19,IF(ISBLANK(AR6),0,MAX(AZ6,AX6,AV6,AS6,AR6)*$AC$15/100-VLOOKUP(AO6,$P$5:$Y$14,10,FALSE))-BC6*$CO$19)),"-")</f>
        <v>-</v>
      </c>
      <c r="BG6" s="9"/>
      <c r="BH6" s="9"/>
      <c r="BI6" s="9"/>
      <c r="BJ6" s="9"/>
      <c r="BM6" s="9"/>
      <c r="BN6" s="504" t="s">
        <v>220</v>
      </c>
      <c r="BO6" s="505" t="s">
        <v>294</v>
      </c>
      <c r="BP6" s="505" t="s">
        <v>295</v>
      </c>
      <c r="BQ6" s="505" t="s">
        <v>296</v>
      </c>
      <c r="BR6" s="505" t="s">
        <v>297</v>
      </c>
      <c r="BS6" s="505" t="s">
        <v>298</v>
      </c>
      <c r="BT6" s="505" t="s">
        <v>299</v>
      </c>
      <c r="BU6" s="505" t="s">
        <v>300</v>
      </c>
      <c r="BV6" s="505" t="s">
        <v>221</v>
      </c>
      <c r="BW6" s="505" t="s">
        <v>228</v>
      </c>
      <c r="BX6" s="505" t="s">
        <v>229</v>
      </c>
      <c r="BY6" s="506" t="s">
        <v>231</v>
      </c>
      <c r="BZ6" s="9"/>
      <c r="CA6" s="476"/>
      <c r="CB6" s="515">
        <f>IFERROR(VLOOKUP(CA6,Feed!$B$4:$H$19,2,FALSE)*($BR$7/$BQ$7)+VLOOKUP(CA6,Feed!$B$4:$H$19,3,FALSE)*($BS$7/$BQ$7)+VLOOKUP(CA6,Feed!$B$4:$H$19,4,FALSE)*($BT$7/$BQ$7)+VLOOKUP(CA6,Feed!$B$4:$H$19,5,FALSE)*($BU$7/$BQ$7),0)</f>
        <v>0</v>
      </c>
      <c r="CC6" s="299" t="str">
        <f t="shared" ref="CC6:CC11" si="8">IFERROR(VLOOKUP($CA6,FeedIngLst,6,FALSE),"-")</f>
        <v>-</v>
      </c>
      <c r="CD6" s="299" t="str">
        <f t="shared" ref="CD6:CD11" si="9">IFERROR(VLOOKUP($CA6,FeedIngLst,7,FALSE),"-")</f>
        <v>-</v>
      </c>
      <c r="CE6" s="482"/>
      <c r="CF6" s="299" t="str">
        <f>IFERROR(CE6/$CE$13,"-")</f>
        <v>-</v>
      </c>
      <c r="CG6" s="300">
        <f t="shared" ref="CG6:CG13" si="10">CE6*$R$15*$BQ$7/2000</f>
        <v>0</v>
      </c>
      <c r="CH6" s="301" t="str">
        <f t="shared" ref="CH6:CH12" si="11">IFERROR($CB6/$CC6/(1-$CD6),"-")</f>
        <v>-</v>
      </c>
      <c r="CI6" s="9"/>
      <c r="CL6" s="9"/>
      <c r="CM6" s="254" t="str">
        <f>CA16</f>
        <v>-</v>
      </c>
      <c r="CN6" s="275">
        <f t="shared" ref="CN6:CN9" si="12">BQ8</f>
        <v>0</v>
      </c>
      <c r="CO6" s="276">
        <f>CG24</f>
        <v>0</v>
      </c>
      <c r="CP6" s="277">
        <f>CE24</f>
        <v>0</v>
      </c>
      <c r="CQ6" s="302">
        <f>IFERROR(CH25,0)</f>
        <v>0</v>
      </c>
      <c r="CR6" s="9"/>
      <c r="CS6" s="9"/>
      <c r="CV6" s="9"/>
      <c r="CW6" s="484"/>
      <c r="CX6" s="485"/>
      <c r="CY6" s="487"/>
      <c r="CZ6" s="487"/>
      <c r="DA6" s="485"/>
      <c r="DB6" s="278">
        <f t="shared" ref="DB6:DB18" si="13">DA6*CY6</f>
        <v>0</v>
      </c>
      <c r="DC6" s="9"/>
      <c r="DD6" s="259" t="s">
        <v>307</v>
      </c>
      <c r="DE6" s="9"/>
      <c r="DF6" s="9"/>
      <c r="DI6" s="9"/>
      <c r="DJ6" s="484"/>
      <c r="DK6" s="489"/>
      <c r="DL6" s="9" t="str">
        <f t="shared" si="0"/>
        <v>-</v>
      </c>
      <c r="DM6" s="485"/>
      <c r="DN6" s="485"/>
      <c r="DO6" s="279" t="str">
        <f t="shared" ref="DO6:DO29" si="14">IFERROR(VLOOKUP(DN6,$CW$5:$DA$18,3,FALSE),"")</f>
        <v/>
      </c>
      <c r="DP6" s="485"/>
      <c r="DQ6" s="278" t="str">
        <f t="shared" ref="DQ6:DQ29" si="15">IFERROR(DP6*DO6,"")</f>
        <v/>
      </c>
      <c r="DR6" s="9"/>
      <c r="DS6" s="303">
        <f>AS2</f>
        <v>0</v>
      </c>
      <c r="DT6" s="9"/>
      <c r="DU6" s="9"/>
      <c r="DX6" s="9"/>
      <c r="DY6" s="304" t="s">
        <v>248</v>
      </c>
      <c r="DZ6" s="305" t="str">
        <f>ROUND(MAX(AZ56,AX56,AV56,AS56,AR56),0)&amp; " pounds at $"&amp;ROUND(AC15,0)&amp;" per CWT"</f>
        <v>0 pounds at $0 per CWT</v>
      </c>
      <c r="EA6" s="306"/>
      <c r="EB6" s="307" t="str">
        <f>IFERROR(AB15*AC15/100,"-")</f>
        <v>-</v>
      </c>
      <c r="EC6" s="9"/>
      <c r="ED6" s="9"/>
      <c r="EE6" s="9"/>
      <c r="EF6" s="9"/>
      <c r="EJ6" s="9"/>
      <c r="EK6" s="281" t="s">
        <v>270</v>
      </c>
      <c r="EL6" s="282" t="str">
        <f>IFERROR(EB6-EB12-EB14,"-")</f>
        <v>-</v>
      </c>
      <c r="EM6" s="308"/>
      <c r="EN6" s="309"/>
      <c r="EO6" s="9"/>
      <c r="EP6" s="9"/>
    </row>
    <row r="7" spans="1:146" ht="18.95" customHeight="1" x14ac:dyDescent="0.25">
      <c r="A7" s="614" t="s">
        <v>340</v>
      </c>
      <c r="B7" s="615"/>
      <c r="C7" s="615"/>
      <c r="D7" s="615"/>
      <c r="E7" s="615"/>
      <c r="F7" s="616"/>
      <c r="G7" s="283"/>
      <c r="H7" s="284"/>
      <c r="I7" s="285" t="s">
        <v>2</v>
      </c>
      <c r="J7" s="456"/>
      <c r="K7" s="286" t="s">
        <v>337</v>
      </c>
      <c r="L7" s="284"/>
      <c r="M7" s="283"/>
      <c r="N7" s="283"/>
      <c r="O7" s="259">
        <f>SUM(R5:R7)</f>
        <v>0</v>
      </c>
      <c r="P7" s="260">
        <v>3</v>
      </c>
      <c r="Q7" s="461"/>
      <c r="R7" s="287">
        <f t="shared" si="1"/>
        <v>0</v>
      </c>
      <c r="S7" s="467"/>
      <c r="T7" s="464"/>
      <c r="U7" s="465"/>
      <c r="V7" s="468"/>
      <c r="W7" s="467"/>
      <c r="X7" s="262">
        <f t="shared" si="2"/>
        <v>0</v>
      </c>
      <c r="Y7" s="263" t="str">
        <f t="shared" si="3"/>
        <v>-</v>
      </c>
      <c r="Z7" s="264">
        <v>3</v>
      </c>
      <c r="AA7" s="474"/>
      <c r="AB7" s="474"/>
      <c r="AC7" s="467"/>
      <c r="AD7" s="262">
        <f t="shared" si="4"/>
        <v>0</v>
      </c>
      <c r="AE7" s="265" t="str">
        <f t="shared" si="5"/>
        <v>-</v>
      </c>
      <c r="AF7" s="266" t="str">
        <f t="shared" si="6"/>
        <v>-</v>
      </c>
      <c r="AG7" s="9"/>
      <c r="AH7" s="259" t="s">
        <v>135</v>
      </c>
      <c r="AI7" s="9"/>
      <c r="AJ7" s="9"/>
      <c r="AK7" s="9"/>
      <c r="AL7" s="283"/>
      <c r="AM7" s="259">
        <v>2</v>
      </c>
      <c r="AN7" s="310" t="str">
        <f>IFERROR(IF(SUM($T$5:$T$14)&lt;1,"-",IF(AO7=AO6,AN6+1,VLOOKUP(AO7,$P$5:$U$14,5,FALSE))),"-")</f>
        <v>-</v>
      </c>
      <c r="AO7" s="9" t="str">
        <f t="shared" ref="AO7:AO55" si="16">IF(AM7&lt;=$O$5,$P$5,IF(AM7&lt;=$O$6,$P$6,IF(AM7&lt;=$O$7,$P$7,IF(AM7&lt;=$O$8,$P$8,IF(AM7&lt;=$O$9,$P$9,IF(AM7&lt;=$O$10,$P$10,IF(AM7&lt;=$O$11,$P$11,IF(AM7&lt;=$O$12,$P$12,IF(AM7&lt;=$O15,$P15,IF(AM7&lt;=$O$14,$P$14,"-"))))))))))</f>
        <v>-</v>
      </c>
      <c r="AP7" s="289" t="str">
        <f t="shared" ref="AP7:AP55" si="17">IFERROR(VLOOKUP(AO7,$P$5:$Q$14,2,FALSE),"-")</f>
        <v>-</v>
      </c>
      <c r="AQ7" s="9" t="str">
        <f t="shared" ref="AQ7:AQ55" si="18">IFERROR(VLOOKUP(AO7,$P$5:$S$14,4,FALSE),"-")</f>
        <v>-</v>
      </c>
      <c r="AR7" s="453"/>
      <c r="AS7" s="453"/>
      <c r="AT7" s="229" t="str">
        <f t="shared" ref="AT7:AT55" si="19">IFERROR($AS$2-AP7,"-")</f>
        <v>-</v>
      </c>
      <c r="AU7" s="290" t="str">
        <f t="shared" ref="AU7:AU55" si="20">IFERROR(IF((AS7-AR7)/AT7&lt;-3,"CHECK INPUTS",(AS7-AR7)/AT7),"N/A")</f>
        <v>N/A</v>
      </c>
      <c r="AV7" s="453"/>
      <c r="AW7" s="290" t="str">
        <f t="shared" si="7"/>
        <v>N/A</v>
      </c>
      <c r="AX7" s="453"/>
      <c r="AY7" s="290" t="str">
        <f t="shared" ref="AY7:AY55" si="21">IFERROR(IF((AX7-AV7)/AY$4&lt;-3,"CHECK INPUTS",IF((AX7-AV7)/AY$4&gt;0,(AX7-AV7)/AY$4,"-")),"N/A")</f>
        <v>N/A</v>
      </c>
      <c r="AZ7" s="453"/>
      <c r="BA7" s="291" t="str">
        <f t="shared" ref="BA7:BA55" si="22">IFERROR(IF((AZ7-AX7)/BA$4&lt;-3,"CHECK INPUTS",IF((AZ7-AX7)/BA$4&gt;0,(AZ7-AX7)/BA$4,"-")),"N/A")</f>
        <v>N/A</v>
      </c>
      <c r="BB7" s="292" t="str">
        <f t="shared" ref="BB7:BB55" si="23">IF(ISERROR(MAX(AZ7,AX7,AV7,AS7,AR7)-AR7),"-",IF(MAX(AZ7,AX7,AV7,AS7,AR7)-AR7=0,"-",MAX(AZ7,AX7,AV7,AS7,AR7)-AR7))</f>
        <v>-</v>
      </c>
      <c r="BC7" s="512" t="str">
        <f t="shared" ref="BC7:BC55" si="24">IFERROR(MAX($AR$2,$AS$2,$AV$2,$AX$2,$AZ$2)-AP7,"-")</f>
        <v>-</v>
      </c>
      <c r="BD7" s="293" t="str">
        <f t="shared" ref="BD7:BD55" si="25">IFERROR(IF((MAX(AZ7,AX7,AV7,AS7,AR7)-AR7)/BC7&gt;0,(MAX(AZ7,AX7,AV7,AS7,AR7)-AR7)/BC7,"-"),"-")</f>
        <v>-</v>
      </c>
      <c r="BE7" s="293" t="str">
        <f t="shared" ref="BE7:BE55" si="26">IF(SUMIF($DJ$5:$DJ$30,AN7,$DQ$5:$DQ$30)&gt;0,SUMIF($DJ$5:$DJ$30,AN7,$DQ$5:$DQ$30),"-")</f>
        <v>-</v>
      </c>
      <c r="BF7" s="294" t="str">
        <f t="shared" ref="BF7:BF55" si="27">IFERROR(IF(ISBLANK(AR7),"-",IF(OR(AR7=$AR$57,AS7=$AR$57,AV7=$AR$57,AX7=$AR$57,AZ7=$AR$57),-VLOOKUP(AO7,$P$5:$Y$14,10,FALSE)-BC7*$CO$19,IF(ISBLANK(AR7),0,MAX(AZ7,AX7,AV7,AS7,AR7)*$AC$15/100-VLOOKUP(AO7,$P$5:$Y$14,10,FALSE))-BC7*$CO$19)),"-")</f>
        <v>-</v>
      </c>
      <c r="BG7" s="9"/>
      <c r="BH7" s="9"/>
      <c r="BI7" s="9"/>
      <c r="BJ7" s="9"/>
      <c r="BM7" s="9"/>
      <c r="BN7" s="476" t="s">
        <v>293</v>
      </c>
      <c r="BO7" s="477"/>
      <c r="BP7" s="477"/>
      <c r="BQ7" s="311">
        <f>IF($BP7-$BO7&gt;0,$BP7-$BO7,0)</f>
        <v>0</v>
      </c>
      <c r="BR7" s="312">
        <f>IF(ISBLANK(BO7),0,IF(AND(Feed!D$3&gt;$BP7,$BP7&gt;Feed!C$3),$BQ7,MAX(MIN($BP7,Feed!D$3)-$BO7,0)))</f>
        <v>0</v>
      </c>
      <c r="BS7" s="312">
        <f>IF(ISBLANK(BO7),0,IF(AND(Feed!E$3&gt;$BP7,$BP7&gt;Feed!D$3),$BQ7,MAX(MIN($BP7,Feed!E$3)-$BO7-BR7,0)))</f>
        <v>0</v>
      </c>
      <c r="BT7" s="312">
        <f>IF(AND(Feed!F$3&gt;$BP7,$BP7&gt;Feed!E$3),$BQ7,MAX(MIN($BP7,Feed!F$3)-$BO7-BS7-BR7,0))</f>
        <v>0</v>
      </c>
      <c r="BU7" s="312">
        <f>IF(AND(Feed!G$3&gt;$BP7,$BP7&gt;Feed!F$3),$BQ7,MAX(MIN($BP7,Feed!G$3)-$BO7-BT7-BT7-BS7-BR7,0))</f>
        <v>0</v>
      </c>
      <c r="BV7" s="313">
        <f>CH14</f>
        <v>0</v>
      </c>
      <c r="BW7" s="507">
        <f>CH12</f>
        <v>78.359787947924048</v>
      </c>
      <c r="BX7" s="313">
        <f>IF($BV7=0,0,$BV7-$BW7)</f>
        <v>0</v>
      </c>
      <c r="BY7" s="315" t="str">
        <f>CF12</f>
        <v>-</v>
      </c>
      <c r="BZ7" s="9"/>
      <c r="CA7" s="476"/>
      <c r="CB7" s="515">
        <f>IFERROR(VLOOKUP(CA7,Feed!$B$4:$H$19,2,FALSE)*($BR$7/$BQ$7)+VLOOKUP(CA7,Feed!$B$4:$H$19,3,FALSE)*($BS$7/$BQ$7)+VLOOKUP(CA7,Feed!$B$4:$H$19,4,FALSE)*($BT$7/$BQ$7)+VLOOKUP(CA7,Feed!$B$4:$H$19,5,FALSE)*($BU$7/$BQ$7),0)</f>
        <v>0</v>
      </c>
      <c r="CC7" s="299" t="str">
        <f t="shared" si="8"/>
        <v>-</v>
      </c>
      <c r="CD7" s="299" t="str">
        <f t="shared" si="9"/>
        <v>-</v>
      </c>
      <c r="CE7" s="482"/>
      <c r="CF7" s="299" t="str">
        <f t="shared" ref="CF7:CF12" si="28">IFERROR(CE7/$CE$13,"-")</f>
        <v>-</v>
      </c>
      <c r="CG7" s="300">
        <f t="shared" si="10"/>
        <v>0</v>
      </c>
      <c r="CH7" s="301" t="str">
        <f t="shared" si="11"/>
        <v>-</v>
      </c>
      <c r="CI7" s="9"/>
      <c r="CL7" s="9"/>
      <c r="CM7" s="254" t="str">
        <f>CA27</f>
        <v>-</v>
      </c>
      <c r="CN7" s="275">
        <f t="shared" si="12"/>
        <v>0</v>
      </c>
      <c r="CO7" s="276">
        <f>CG35</f>
        <v>0</v>
      </c>
      <c r="CP7" s="277">
        <f>CE35</f>
        <v>0</v>
      </c>
      <c r="CQ7" s="302">
        <f>IFERROR(CH36,0)</f>
        <v>0</v>
      </c>
      <c r="CR7" s="9"/>
      <c r="CS7" s="9"/>
      <c r="CV7" s="9"/>
      <c r="CW7" s="484"/>
      <c r="CX7" s="485"/>
      <c r="CY7" s="487"/>
      <c r="CZ7" s="487"/>
      <c r="DA7" s="485"/>
      <c r="DB7" s="278">
        <f t="shared" si="13"/>
        <v>0</v>
      </c>
      <c r="DC7" s="9"/>
      <c r="DD7" s="259" t="s">
        <v>308</v>
      </c>
      <c r="DE7" s="9"/>
      <c r="DF7" s="9"/>
      <c r="DI7" s="9"/>
      <c r="DJ7" s="484"/>
      <c r="DK7" s="485"/>
      <c r="DL7" s="9" t="str">
        <f t="shared" si="0"/>
        <v>-</v>
      </c>
      <c r="DM7" s="485"/>
      <c r="DN7" s="485"/>
      <c r="DO7" s="279" t="str">
        <f t="shared" si="14"/>
        <v/>
      </c>
      <c r="DP7" s="485"/>
      <c r="DQ7" s="278" t="str">
        <f t="shared" si="15"/>
        <v/>
      </c>
      <c r="DR7" s="9"/>
      <c r="DS7" s="303">
        <f>AV2</f>
        <v>0</v>
      </c>
      <c r="DT7" s="9"/>
      <c r="DU7" s="9"/>
      <c r="DX7" s="9"/>
      <c r="DY7" s="304" t="s">
        <v>245</v>
      </c>
      <c r="DZ7" s="305"/>
      <c r="EA7" s="306"/>
      <c r="EB7" s="307" t="str">
        <f>IFERROR((J5/100*AVERAGE(V15,AB15)-EB6)/R15*SUM(AS58:AZ58),"-")</f>
        <v>-</v>
      </c>
      <c r="EC7" s="9"/>
      <c r="ED7" s="9"/>
      <c r="EE7" s="9"/>
      <c r="EF7" s="9"/>
      <c r="EJ7" s="9"/>
      <c r="EK7" s="281" t="s">
        <v>271</v>
      </c>
      <c r="EL7" s="282">
        <f>IFERROR(EL6/MAX(AZ56,AX56,AV56,AS56,AR56),)</f>
        <v>0</v>
      </c>
      <c r="EM7" s="308"/>
      <c r="EN7" s="309"/>
      <c r="EO7" s="9"/>
      <c r="EP7" s="9"/>
    </row>
    <row r="8" spans="1:146" ht="18.75" x14ac:dyDescent="0.25">
      <c r="A8" s="614" t="s">
        <v>273</v>
      </c>
      <c r="B8" s="615"/>
      <c r="C8" s="615"/>
      <c r="D8" s="615"/>
      <c r="E8" s="615"/>
      <c r="F8" s="616"/>
      <c r="G8" s="283"/>
      <c r="H8" s="284"/>
      <c r="I8" s="285" t="s">
        <v>9</v>
      </c>
      <c r="J8" s="457"/>
      <c r="K8" s="286" t="s">
        <v>336</v>
      </c>
      <c r="L8" s="284"/>
      <c r="M8" s="283"/>
      <c r="N8" s="283"/>
      <c r="O8" s="259">
        <f>SUM(R5:R8)</f>
        <v>0</v>
      </c>
      <c r="P8" s="260">
        <v>4</v>
      </c>
      <c r="Q8" s="461"/>
      <c r="R8" s="287">
        <f t="shared" si="1"/>
        <v>0</v>
      </c>
      <c r="S8" s="467"/>
      <c r="T8" s="464"/>
      <c r="U8" s="465"/>
      <c r="V8" s="468"/>
      <c r="W8" s="467"/>
      <c r="X8" s="262">
        <f t="shared" si="2"/>
        <v>0</v>
      </c>
      <c r="Y8" s="263" t="str">
        <f t="shared" si="3"/>
        <v>-</v>
      </c>
      <c r="Z8" s="264">
        <v>4</v>
      </c>
      <c r="AA8" s="474"/>
      <c r="AB8" s="474"/>
      <c r="AC8" s="467"/>
      <c r="AD8" s="262">
        <f t="shared" si="4"/>
        <v>0</v>
      </c>
      <c r="AE8" s="265" t="str">
        <f t="shared" si="5"/>
        <v>-</v>
      </c>
      <c r="AF8" s="266" t="str">
        <f t="shared" si="6"/>
        <v>-</v>
      </c>
      <c r="AG8" s="9"/>
      <c r="AH8" s="259" t="s">
        <v>366</v>
      </c>
      <c r="AI8" s="9"/>
      <c r="AJ8" s="9"/>
      <c r="AK8" s="9"/>
      <c r="AL8" s="283"/>
      <c r="AM8" s="259">
        <v>3</v>
      </c>
      <c r="AN8" s="310" t="str">
        <f t="shared" ref="AN8:AN55" si="29">IFERROR(IF(SUM($T$5:$T$14)&lt;1,"-",IF(AO8=AO7,AN7+1,VLOOKUP(AO8,$P$5:$U$14,5,FALSE))),"-")</f>
        <v>-</v>
      </c>
      <c r="AO8" s="9" t="str">
        <f t="shared" si="16"/>
        <v>-</v>
      </c>
      <c r="AP8" s="289" t="str">
        <f t="shared" si="17"/>
        <v>-</v>
      </c>
      <c r="AQ8" s="9" t="str">
        <f t="shared" si="18"/>
        <v>-</v>
      </c>
      <c r="AR8" s="453"/>
      <c r="AS8" s="453"/>
      <c r="AT8" s="229" t="str">
        <f t="shared" si="19"/>
        <v>-</v>
      </c>
      <c r="AU8" s="290" t="str">
        <f t="shared" si="20"/>
        <v>N/A</v>
      </c>
      <c r="AV8" s="453"/>
      <c r="AW8" s="290" t="str">
        <f t="shared" si="7"/>
        <v>N/A</v>
      </c>
      <c r="AX8" s="453"/>
      <c r="AY8" s="290" t="str">
        <f t="shared" si="21"/>
        <v>N/A</v>
      </c>
      <c r="AZ8" s="453"/>
      <c r="BA8" s="291" t="str">
        <f t="shared" si="22"/>
        <v>N/A</v>
      </c>
      <c r="BB8" s="292" t="str">
        <f t="shared" si="23"/>
        <v>-</v>
      </c>
      <c r="BC8" s="512" t="str">
        <f t="shared" si="24"/>
        <v>-</v>
      </c>
      <c r="BD8" s="293" t="str">
        <f t="shared" si="25"/>
        <v>-</v>
      </c>
      <c r="BE8" s="293" t="str">
        <f t="shared" si="26"/>
        <v>-</v>
      </c>
      <c r="BF8" s="294" t="str">
        <f t="shared" si="27"/>
        <v>-</v>
      </c>
      <c r="BG8" s="9"/>
      <c r="BH8" s="9"/>
      <c r="BI8" s="9"/>
      <c r="BJ8" s="9"/>
      <c r="BM8" s="9"/>
      <c r="BN8" s="476" t="s">
        <v>293</v>
      </c>
      <c r="BO8" s="477"/>
      <c r="BP8" s="477"/>
      <c r="BQ8" s="311">
        <f>IF($BP8-$BO8&gt;0,$BP8-$BO8,0)</f>
        <v>0</v>
      </c>
      <c r="BR8" s="312">
        <f>IF(ISBLANK(BO8),0,IF(AND(Feed!D$3&gt;$BP8,$BP8&gt;Feed!C$3),$BQ8,MAX(MIN($BP8,Feed!D$3)-$BO8,0)))</f>
        <v>0</v>
      </c>
      <c r="BS8" s="312">
        <f>IF(ISBLANK(BO8),0,IF(AND(Feed!E$3&gt;$BP8,$BP8&gt;Feed!D$3),$BQ8,MAX(MIN($BP8,Feed!E$3)-$BO8-BR8,0)))</f>
        <v>0</v>
      </c>
      <c r="BT8" s="312">
        <f>IF(AND(Feed!F$3&gt;$BP8,$BP8&gt;Feed!E$3),$BQ8,MAX(MIN($BP8,Feed!F$3)-$BO8-BS8-BR8,0))</f>
        <v>0</v>
      </c>
      <c r="BU8" s="312">
        <f>IF(AND(Feed!G$3&gt;$BP8,$BP8&gt;Feed!F$3),$BQ8,MAX(MIN($BP8,Feed!G$3)-$BO8-BT8-BS8-BR8,0))</f>
        <v>0</v>
      </c>
      <c r="BV8" s="313">
        <f>CH25</f>
        <v>0</v>
      </c>
      <c r="BW8" s="507">
        <f>CH23</f>
        <v>78.359787947924048</v>
      </c>
      <c r="BX8" s="313">
        <f>IF($BV8=0,0,$BV8-$BW8)</f>
        <v>0</v>
      </c>
      <c r="BY8" s="315" t="str">
        <f>CF23</f>
        <v>-</v>
      </c>
      <c r="BZ8" s="9"/>
      <c r="CA8" s="476"/>
      <c r="CB8" s="515">
        <f>IFERROR(VLOOKUP(CA8,Feed!$B$4:$H$19,2,FALSE)*($BR$7/$BQ$7)+VLOOKUP(CA8,Feed!$B$4:$H$19,3,FALSE)*($BS$7/$BQ$7)+VLOOKUP(CA8,Feed!$B$4:$H$19,4,FALSE)*($BT$7/$BQ$7)+VLOOKUP(CA8,Feed!$B$4:$H$19,5,FALSE)*($BU$7/$BQ$7),0)</f>
        <v>0</v>
      </c>
      <c r="CC8" s="299" t="str">
        <f t="shared" si="8"/>
        <v>-</v>
      </c>
      <c r="CD8" s="299" t="str">
        <f t="shared" si="9"/>
        <v>-</v>
      </c>
      <c r="CE8" s="482"/>
      <c r="CF8" s="299" t="str">
        <f t="shared" si="28"/>
        <v>-</v>
      </c>
      <c r="CG8" s="300">
        <f t="shared" si="10"/>
        <v>0</v>
      </c>
      <c r="CH8" s="301" t="str">
        <f t="shared" si="11"/>
        <v>-</v>
      </c>
      <c r="CI8" s="9"/>
      <c r="CL8" s="9"/>
      <c r="CM8" s="254" t="str">
        <f>CA38</f>
        <v>-</v>
      </c>
      <c r="CN8" s="275">
        <f t="shared" si="12"/>
        <v>0</v>
      </c>
      <c r="CO8" s="276">
        <f>CG46</f>
        <v>0</v>
      </c>
      <c r="CP8" s="277">
        <f>CE46</f>
        <v>0</v>
      </c>
      <c r="CQ8" s="302">
        <f>IFERROR(CH47,0)</f>
        <v>0</v>
      </c>
      <c r="CR8" s="9"/>
      <c r="CS8" s="9"/>
      <c r="CV8" s="9"/>
      <c r="CW8" s="484"/>
      <c r="CX8" s="485"/>
      <c r="CY8" s="487"/>
      <c r="CZ8" s="487"/>
      <c r="DA8" s="485"/>
      <c r="DB8" s="278">
        <f t="shared" si="13"/>
        <v>0</v>
      </c>
      <c r="DC8" s="9"/>
      <c r="DD8" s="9"/>
      <c r="DE8" s="9"/>
      <c r="DF8" s="9"/>
      <c r="DI8" s="9"/>
      <c r="DJ8" s="484"/>
      <c r="DK8" s="485"/>
      <c r="DL8" s="9" t="str">
        <f t="shared" si="0"/>
        <v>-</v>
      </c>
      <c r="DM8" s="485"/>
      <c r="DN8" s="485"/>
      <c r="DO8" s="279" t="str">
        <f t="shared" si="14"/>
        <v/>
      </c>
      <c r="DP8" s="485"/>
      <c r="DQ8" s="278" t="str">
        <f t="shared" si="15"/>
        <v/>
      </c>
      <c r="DR8" s="9"/>
      <c r="DS8" s="303">
        <f>AX2</f>
        <v>0</v>
      </c>
      <c r="DT8" s="9"/>
      <c r="DU8" s="9"/>
      <c r="DX8" s="9"/>
      <c r="DY8" s="304" t="s">
        <v>244</v>
      </c>
      <c r="DZ8" s="306"/>
      <c r="EA8" s="306"/>
      <c r="EB8" s="307" t="str">
        <f>IFERROR(-(SUM(AS57:AZ57)*EB6)/R15,"-")</f>
        <v>-</v>
      </c>
      <c r="EC8" s="9"/>
      <c r="ED8" s="9"/>
      <c r="EE8" s="9"/>
      <c r="EF8" s="9"/>
      <c r="EJ8" s="9"/>
      <c r="EK8" s="281" t="s">
        <v>266</v>
      </c>
      <c r="EL8" s="497">
        <f>IFERROR((EB24-EB7-EB8-EB9)/MAX(AZ56,AX56,AV56,AS56,AR56),)</f>
        <v>0</v>
      </c>
      <c r="EM8" s="9"/>
      <c r="EN8" s="9"/>
      <c r="EO8" s="9"/>
      <c r="EP8" s="9"/>
    </row>
    <row r="9" spans="1:146" ht="18.95" customHeight="1" x14ac:dyDescent="0.25">
      <c r="A9" s="614" t="s">
        <v>281</v>
      </c>
      <c r="B9" s="615"/>
      <c r="C9" s="615"/>
      <c r="D9" s="615"/>
      <c r="E9" s="615"/>
      <c r="F9" s="616"/>
      <c r="G9" s="283"/>
      <c r="H9" s="284"/>
      <c r="I9" s="318" t="s">
        <v>39</v>
      </c>
      <c r="J9" s="456"/>
      <c r="K9" s="319" t="s">
        <v>55</v>
      </c>
      <c r="L9" s="284"/>
      <c r="M9" s="283"/>
      <c r="N9" s="283"/>
      <c r="O9" s="259">
        <f>SUM(R5:R9)</f>
        <v>0</v>
      </c>
      <c r="P9" s="260">
        <v>5</v>
      </c>
      <c r="Q9" s="461"/>
      <c r="R9" s="287">
        <f t="shared" si="1"/>
        <v>0</v>
      </c>
      <c r="S9" s="467"/>
      <c r="T9" s="464"/>
      <c r="U9" s="465"/>
      <c r="V9" s="468"/>
      <c r="W9" s="467"/>
      <c r="X9" s="262">
        <f t="shared" si="2"/>
        <v>0</v>
      </c>
      <c r="Y9" s="263" t="str">
        <f t="shared" si="3"/>
        <v>-</v>
      </c>
      <c r="Z9" s="264">
        <v>5</v>
      </c>
      <c r="AA9" s="474"/>
      <c r="AB9" s="474"/>
      <c r="AC9" s="467"/>
      <c r="AD9" s="262">
        <f t="shared" si="4"/>
        <v>0</v>
      </c>
      <c r="AE9" s="265" t="str">
        <f t="shared" si="5"/>
        <v>-</v>
      </c>
      <c r="AF9" s="266" t="str">
        <f t="shared" si="6"/>
        <v>-</v>
      </c>
      <c r="AG9" s="9"/>
      <c r="AH9" s="259" t="s">
        <v>367</v>
      </c>
      <c r="AI9" s="9"/>
      <c r="AJ9" s="9"/>
      <c r="AK9" s="9"/>
      <c r="AL9" s="283"/>
      <c r="AM9" s="259">
        <v>4</v>
      </c>
      <c r="AN9" s="310" t="str">
        <f t="shared" si="29"/>
        <v>-</v>
      </c>
      <c r="AO9" s="9" t="str">
        <f t="shared" si="16"/>
        <v>-</v>
      </c>
      <c r="AP9" s="289" t="str">
        <f t="shared" si="17"/>
        <v>-</v>
      </c>
      <c r="AQ9" s="9" t="str">
        <f t="shared" si="18"/>
        <v>-</v>
      </c>
      <c r="AR9" s="453"/>
      <c r="AS9" s="453"/>
      <c r="AT9" s="229" t="str">
        <f t="shared" si="19"/>
        <v>-</v>
      </c>
      <c r="AU9" s="290" t="str">
        <f t="shared" si="20"/>
        <v>N/A</v>
      </c>
      <c r="AV9" s="453"/>
      <c r="AW9" s="290" t="str">
        <f t="shared" si="7"/>
        <v>N/A</v>
      </c>
      <c r="AX9" s="453"/>
      <c r="AY9" s="290" t="str">
        <f t="shared" si="21"/>
        <v>N/A</v>
      </c>
      <c r="AZ9" s="453"/>
      <c r="BA9" s="291" t="str">
        <f t="shared" si="22"/>
        <v>N/A</v>
      </c>
      <c r="BB9" s="292" t="str">
        <f t="shared" si="23"/>
        <v>-</v>
      </c>
      <c r="BC9" s="512" t="str">
        <f t="shared" si="24"/>
        <v>-</v>
      </c>
      <c r="BD9" s="293" t="str">
        <f t="shared" si="25"/>
        <v>-</v>
      </c>
      <c r="BE9" s="293" t="str">
        <f t="shared" si="26"/>
        <v>-</v>
      </c>
      <c r="BF9" s="294" t="str">
        <f t="shared" si="27"/>
        <v>-</v>
      </c>
      <c r="BG9" s="9"/>
      <c r="BH9" s="9"/>
      <c r="BI9" s="9"/>
      <c r="BJ9" s="9"/>
      <c r="BM9" s="9"/>
      <c r="BN9" s="476" t="s">
        <v>293</v>
      </c>
      <c r="BO9" s="477"/>
      <c r="BP9" s="477"/>
      <c r="BQ9" s="311">
        <f>IF($BP9-$BO9&gt;0,$BP9-$BO9,0)</f>
        <v>0</v>
      </c>
      <c r="BR9" s="312">
        <f>IF(ISBLANK(BO9),0,IF(AND(Feed!D$3&gt;$BP9,$BP9&gt;Feed!C$3),$BQ9,MAX(MIN($BP9,Feed!D$3)-$BO9,0)))</f>
        <v>0</v>
      </c>
      <c r="BS9" s="312">
        <f>IF(ISBLANK(BO9),0,IF(AND(Feed!E$3&gt;$BP9,$BP9&gt;Feed!D$3),$BQ9,MAX(MIN($BP9,Feed!E$3)-$BO9-BR9,0)))</f>
        <v>0</v>
      </c>
      <c r="BT9" s="312">
        <f>IF(AND(Feed!F$3&gt;$BP9,$BP9&gt;Feed!E$3),$BQ9,MAX(MIN($BP9,Feed!F$3)-$BO9-BS9-BR9,0))</f>
        <v>0</v>
      </c>
      <c r="BU9" s="312">
        <f>IF(AND(Feed!G$3&gt;$BP9,$BP9&gt;Feed!F$3),$BQ9,MAX(MIN($BP9,Feed!G$3)-$BO9-BT9-BT9-BS9-BR9,0))</f>
        <v>0</v>
      </c>
      <c r="BV9" s="313">
        <f>CH36</f>
        <v>0</v>
      </c>
      <c r="BW9" s="507">
        <f>CH34</f>
        <v>78.359787947924048</v>
      </c>
      <c r="BX9" s="313">
        <f>IF($BV9=0,0,$BV9-$BW9)</f>
        <v>0</v>
      </c>
      <c r="BY9" s="315" t="str">
        <f>CF34</f>
        <v>-</v>
      </c>
      <c r="BZ9" s="9"/>
      <c r="CA9" s="476"/>
      <c r="CB9" s="515">
        <f>IFERROR(VLOOKUP(CA9,Feed!$B$4:$H$19,2,FALSE)*($BR$7/$BQ$7)+VLOOKUP(CA9,Feed!$B$4:$H$19,3,FALSE)*($BS$7/$BQ$7)+VLOOKUP(CA9,Feed!$B$4:$H$19,4,FALSE)*($BT$7/$BQ$7)+VLOOKUP(CA9,Feed!$B$4:$H$19,5,FALSE)*($BU$7/$BQ$7),0)</f>
        <v>0</v>
      </c>
      <c r="CC9" s="299" t="str">
        <f t="shared" si="8"/>
        <v>-</v>
      </c>
      <c r="CD9" s="299" t="str">
        <f t="shared" si="9"/>
        <v>-</v>
      </c>
      <c r="CE9" s="482"/>
      <c r="CF9" s="299" t="str">
        <f t="shared" si="28"/>
        <v>-</v>
      </c>
      <c r="CG9" s="300">
        <f t="shared" si="10"/>
        <v>0</v>
      </c>
      <c r="CH9" s="301" t="str">
        <f t="shared" si="11"/>
        <v>-</v>
      </c>
      <c r="CI9" s="9"/>
      <c r="CL9" s="9"/>
      <c r="CM9" s="254" t="str">
        <f>CA49</f>
        <v>-</v>
      </c>
      <c r="CN9" s="275">
        <f t="shared" si="12"/>
        <v>0</v>
      </c>
      <c r="CO9" s="276">
        <f>CG57</f>
        <v>0</v>
      </c>
      <c r="CP9" s="277">
        <f>CE57</f>
        <v>0</v>
      </c>
      <c r="CQ9" s="302">
        <f>IFERROR(CH58,0)</f>
        <v>0</v>
      </c>
      <c r="CR9" s="320"/>
      <c r="CS9" s="9"/>
      <c r="CV9" s="9"/>
      <c r="CW9" s="484"/>
      <c r="CX9" s="485"/>
      <c r="CY9" s="487"/>
      <c r="CZ9" s="487"/>
      <c r="DA9" s="485"/>
      <c r="DB9" s="278">
        <f t="shared" si="13"/>
        <v>0</v>
      </c>
      <c r="DC9" s="9"/>
      <c r="DD9" s="9"/>
      <c r="DE9" s="9"/>
      <c r="DF9" s="9"/>
      <c r="DI9" s="9"/>
      <c r="DJ9" s="484"/>
      <c r="DK9" s="485"/>
      <c r="DL9" s="9" t="str">
        <f t="shared" si="0"/>
        <v>-</v>
      </c>
      <c r="DM9" s="485"/>
      <c r="DN9" s="485"/>
      <c r="DO9" s="279" t="str">
        <f t="shared" si="14"/>
        <v/>
      </c>
      <c r="DP9" s="485"/>
      <c r="DQ9" s="278" t="str">
        <f t="shared" si="15"/>
        <v/>
      </c>
      <c r="DR9" s="9"/>
      <c r="DS9" s="303">
        <f>AZ2</f>
        <v>0</v>
      </c>
      <c r="DT9" s="9"/>
      <c r="DU9" s="9"/>
      <c r="DX9" s="9"/>
      <c r="DY9" s="304" t="s">
        <v>242</v>
      </c>
      <c r="DZ9" s="306" t="str">
        <f>J12*100&amp;"% of total sales"</f>
        <v>0% of total sales</v>
      </c>
      <c r="EA9" s="306"/>
      <c r="EB9" s="307" t="str">
        <f>IFERROR(-J12*(EB6-EB7-EB8),"-")</f>
        <v>-</v>
      </c>
      <c r="EC9" s="9"/>
      <c r="ED9" s="9"/>
      <c r="EE9" s="9"/>
      <c r="EF9" s="9"/>
      <c r="EJ9" s="9"/>
      <c r="EK9" s="281" t="s">
        <v>267</v>
      </c>
      <c r="EL9" s="498" cm="1">
        <f t="array" ref="EL9">IFERROR(SUM(EB13:EB23,-EB7:EB8)/BB56,)</f>
        <v>0</v>
      </c>
      <c r="EM9" s="9"/>
      <c r="EN9" s="9"/>
      <c r="EO9" s="320"/>
      <c r="EP9" s="9"/>
    </row>
    <row r="10" spans="1:146" ht="18.75" x14ac:dyDescent="0.25">
      <c r="A10" s="614" t="s">
        <v>263</v>
      </c>
      <c r="B10" s="615"/>
      <c r="C10" s="615"/>
      <c r="D10" s="615"/>
      <c r="E10" s="615"/>
      <c r="F10" s="616"/>
      <c r="G10" s="283"/>
      <c r="H10" s="284"/>
      <c r="I10" s="318" t="s">
        <v>276</v>
      </c>
      <c r="J10" s="456"/>
      <c r="K10" s="319" t="s">
        <v>46</v>
      </c>
      <c r="L10" s="284"/>
      <c r="M10" s="283"/>
      <c r="N10" s="283"/>
      <c r="O10" s="259">
        <f>SUM(R5:R10)</f>
        <v>0</v>
      </c>
      <c r="P10" s="260">
        <v>6</v>
      </c>
      <c r="Q10" s="461"/>
      <c r="R10" s="287">
        <f t="shared" si="1"/>
        <v>0</v>
      </c>
      <c r="S10" s="467"/>
      <c r="T10" s="464"/>
      <c r="U10" s="465"/>
      <c r="V10" s="468"/>
      <c r="W10" s="467"/>
      <c r="X10" s="262">
        <f t="shared" si="2"/>
        <v>0</v>
      </c>
      <c r="Y10" s="263" t="str">
        <f t="shared" si="3"/>
        <v>-</v>
      </c>
      <c r="Z10" s="264">
        <v>6</v>
      </c>
      <c r="AA10" s="474"/>
      <c r="AB10" s="474"/>
      <c r="AC10" s="467"/>
      <c r="AD10" s="262">
        <f t="shared" si="4"/>
        <v>0</v>
      </c>
      <c r="AE10" s="265" t="str">
        <f t="shared" si="5"/>
        <v>-</v>
      </c>
      <c r="AF10" s="266" t="str">
        <f t="shared" si="6"/>
        <v>-</v>
      </c>
      <c r="AG10" s="9"/>
      <c r="AH10" s="259" t="s">
        <v>368</v>
      </c>
      <c r="AI10" s="9"/>
      <c r="AJ10" s="9"/>
      <c r="AK10" s="9"/>
      <c r="AL10" s="283"/>
      <c r="AM10" s="259">
        <v>5</v>
      </c>
      <c r="AN10" s="310" t="str">
        <f t="shared" si="29"/>
        <v>-</v>
      </c>
      <c r="AO10" s="9" t="str">
        <f t="shared" si="16"/>
        <v>-</v>
      </c>
      <c r="AP10" s="289" t="str">
        <f t="shared" si="17"/>
        <v>-</v>
      </c>
      <c r="AQ10" s="9" t="str">
        <f t="shared" si="18"/>
        <v>-</v>
      </c>
      <c r="AR10" s="453"/>
      <c r="AS10" s="453"/>
      <c r="AT10" s="229" t="str">
        <f t="shared" si="19"/>
        <v>-</v>
      </c>
      <c r="AU10" s="290" t="str">
        <f t="shared" si="20"/>
        <v>N/A</v>
      </c>
      <c r="AV10" s="453"/>
      <c r="AW10" s="290" t="str">
        <f t="shared" si="7"/>
        <v>N/A</v>
      </c>
      <c r="AX10" s="453"/>
      <c r="AY10" s="290" t="str">
        <f t="shared" si="21"/>
        <v>N/A</v>
      </c>
      <c r="AZ10" s="453"/>
      <c r="BA10" s="291" t="str">
        <f t="shared" si="22"/>
        <v>N/A</v>
      </c>
      <c r="BB10" s="292" t="str">
        <f t="shared" si="23"/>
        <v>-</v>
      </c>
      <c r="BC10" s="512" t="str">
        <f t="shared" si="24"/>
        <v>-</v>
      </c>
      <c r="BD10" s="293" t="str">
        <f t="shared" si="25"/>
        <v>-</v>
      </c>
      <c r="BE10" s="293" t="str">
        <f t="shared" si="26"/>
        <v>-</v>
      </c>
      <c r="BF10" s="294" t="str">
        <f t="shared" si="27"/>
        <v>-</v>
      </c>
      <c r="BG10" s="9"/>
      <c r="BH10" s="9"/>
      <c r="BI10" s="9"/>
      <c r="BJ10" s="9"/>
      <c r="BM10" s="9"/>
      <c r="BN10" s="476" t="s">
        <v>293</v>
      </c>
      <c r="BO10" s="478"/>
      <c r="BP10" s="478"/>
      <c r="BQ10" s="311">
        <f>IF($BP10-$BO10&gt;0,$BP10-$BO10,0)</f>
        <v>0</v>
      </c>
      <c r="BR10" s="312">
        <f>IF(ISBLANK(BO10),0,IF(AND(Feed!D$3&gt;$BP10,$BP10&gt;Feed!C$3),$BQ10,MAX(MIN($BP10,Feed!D$3)-$BO10,0)))</f>
        <v>0</v>
      </c>
      <c r="BS10" s="312">
        <f>IF(ISBLANK(BO10),0,IF(AND(Feed!E$3&gt;$BP10,$BP10&gt;Feed!D$3),$BQ10,MAX(MIN($BP10,Feed!E$3)-$BO10-BR10,0)))</f>
        <v>0</v>
      </c>
      <c r="BT10" s="312">
        <f>IF(AND(Feed!F$3&gt;$BP10,$BP10&gt;Feed!E$3),$BQ10,MAX(MIN($BP10,Feed!F$3)-$BO10-BS10-BR10,0))</f>
        <v>0</v>
      </c>
      <c r="BU10" s="312">
        <f>IF(AND(Feed!G$3&gt;$BP10,$BP10&gt;Feed!F$3),$BQ10,MAX(MIN($BP10,Feed!G$3)-$BO10-BT10-BS10-BR10,0))</f>
        <v>0</v>
      </c>
      <c r="BV10" s="313">
        <f>CH47</f>
        <v>0</v>
      </c>
      <c r="BW10" s="507">
        <f>CH45</f>
        <v>78.359787947924048</v>
      </c>
      <c r="BX10" s="313">
        <f>IF($BV10=0,0,$BV10-$BW10)</f>
        <v>0</v>
      </c>
      <c r="BY10" s="315" t="str">
        <f>CF45</f>
        <v>-</v>
      </c>
      <c r="BZ10" s="9"/>
      <c r="CA10" s="476"/>
      <c r="CB10" s="515">
        <f>IFERROR(VLOOKUP(CA10,Feed!$B$4:$H$19,2,FALSE)*($BR$7/$BQ$7)+VLOOKUP(CA10,Feed!$B$4:$H$19,3,FALSE)*($BS$7/$BQ$7)+VLOOKUP(CA10,Feed!$B$4:$H$19,4,FALSE)*($BT$7/$BQ$7)+VLOOKUP(CA10,Feed!$B$4:$H$19,5,FALSE)*($BU$7/$BQ$7),0)</f>
        <v>0</v>
      </c>
      <c r="CC10" s="299" t="str">
        <f t="shared" si="8"/>
        <v>-</v>
      </c>
      <c r="CD10" s="299" t="str">
        <f t="shared" si="9"/>
        <v>-</v>
      </c>
      <c r="CE10" s="482"/>
      <c r="CF10" s="299" t="str">
        <f t="shared" si="28"/>
        <v>-</v>
      </c>
      <c r="CG10" s="300">
        <f t="shared" si="10"/>
        <v>0</v>
      </c>
      <c r="CH10" s="301" t="str">
        <f t="shared" si="11"/>
        <v>-</v>
      </c>
      <c r="CI10" s="9"/>
      <c r="CL10" s="9"/>
      <c r="CM10" s="322" t="s">
        <v>4</v>
      </c>
      <c r="CN10" s="323">
        <f>SUM(CN5:CN9)</f>
        <v>0</v>
      </c>
      <c r="CO10" s="324">
        <f>SUM(CO5:CO9)</f>
        <v>0</v>
      </c>
      <c r="CP10" s="9"/>
      <c r="CQ10" s="9"/>
      <c r="CR10" s="9"/>
      <c r="CS10" s="9"/>
      <c r="CV10" s="9"/>
      <c r="CW10" s="484"/>
      <c r="CX10" s="485"/>
      <c r="CY10" s="487"/>
      <c r="CZ10" s="487"/>
      <c r="DA10" s="485"/>
      <c r="DB10" s="278">
        <f t="shared" si="13"/>
        <v>0</v>
      </c>
      <c r="DC10" s="9"/>
      <c r="DD10" s="9"/>
      <c r="DE10" s="9"/>
      <c r="DF10" s="9"/>
      <c r="DI10" s="9"/>
      <c r="DJ10" s="484"/>
      <c r="DK10" s="489"/>
      <c r="DL10" s="9" t="str">
        <f t="shared" si="0"/>
        <v>-</v>
      </c>
      <c r="DM10" s="485"/>
      <c r="DN10" s="485"/>
      <c r="DO10" s="279" t="str">
        <f t="shared" si="14"/>
        <v/>
      </c>
      <c r="DP10" s="485"/>
      <c r="DQ10" s="278" t="str">
        <f t="shared" si="15"/>
        <v/>
      </c>
      <c r="DR10" s="9"/>
      <c r="DS10" s="9"/>
      <c r="DT10" s="9"/>
      <c r="DU10" s="9"/>
      <c r="DX10" s="9"/>
      <c r="DY10" s="325"/>
      <c r="DZ10" s="326"/>
      <c r="EA10" s="326" t="s">
        <v>252</v>
      </c>
      <c r="EB10" s="327">
        <f>SUM(EB6:EB9)</f>
        <v>0</v>
      </c>
      <c r="EC10" s="9"/>
      <c r="ED10" s="9"/>
      <c r="EE10" s="9"/>
      <c r="EF10" s="9"/>
      <c r="EJ10" s="9"/>
      <c r="EK10" s="281" t="s">
        <v>268</v>
      </c>
      <c r="EL10" s="499">
        <f>IFERROR((EB6-EB12)/CO12,)</f>
        <v>0</v>
      </c>
      <c r="EM10" s="9"/>
      <c r="EN10" s="9"/>
      <c r="EO10" s="9"/>
      <c r="EP10" s="9"/>
    </row>
    <row r="11" spans="1:146" ht="18.95" customHeight="1" thickBot="1" x14ac:dyDescent="0.3">
      <c r="A11" s="614" t="s">
        <v>262</v>
      </c>
      <c r="B11" s="615"/>
      <c r="C11" s="615"/>
      <c r="D11" s="615"/>
      <c r="E11" s="615"/>
      <c r="F11" s="616"/>
      <c r="G11" s="283"/>
      <c r="H11" s="284"/>
      <c r="I11" s="318" t="s">
        <v>341</v>
      </c>
      <c r="J11" s="458"/>
      <c r="K11" s="319" t="s">
        <v>342</v>
      </c>
      <c r="L11" s="284"/>
      <c r="M11" s="283"/>
      <c r="N11" s="283"/>
      <c r="O11" s="259">
        <f>SUM(R5:R11)</f>
        <v>0</v>
      </c>
      <c r="P11" s="260">
        <v>7</v>
      </c>
      <c r="Q11" s="461"/>
      <c r="R11" s="287">
        <f t="shared" si="1"/>
        <v>0</v>
      </c>
      <c r="S11" s="467"/>
      <c r="T11" s="464"/>
      <c r="U11" s="465"/>
      <c r="V11" s="468"/>
      <c r="W11" s="467"/>
      <c r="X11" s="262">
        <f t="shared" si="2"/>
        <v>0</v>
      </c>
      <c r="Y11" s="263" t="str">
        <f t="shared" si="3"/>
        <v>-</v>
      </c>
      <c r="Z11" s="264">
        <v>7</v>
      </c>
      <c r="AA11" s="474"/>
      <c r="AB11" s="474"/>
      <c r="AC11" s="467"/>
      <c r="AD11" s="262">
        <f t="shared" si="4"/>
        <v>0</v>
      </c>
      <c r="AE11" s="265" t="str">
        <f t="shared" si="5"/>
        <v>-</v>
      </c>
      <c r="AF11" s="266" t="str">
        <f t="shared" si="6"/>
        <v>-</v>
      </c>
      <c r="AG11" s="9"/>
      <c r="AH11" s="259" t="s">
        <v>369</v>
      </c>
      <c r="AI11" s="9"/>
      <c r="AJ11" s="9"/>
      <c r="AK11" s="9"/>
      <c r="AL11" s="283"/>
      <c r="AM11" s="259">
        <v>6</v>
      </c>
      <c r="AN11" s="310" t="str">
        <f t="shared" si="29"/>
        <v>-</v>
      </c>
      <c r="AO11" s="9" t="str">
        <f t="shared" si="16"/>
        <v>-</v>
      </c>
      <c r="AP11" s="289" t="str">
        <f t="shared" si="17"/>
        <v>-</v>
      </c>
      <c r="AQ11" s="9" t="str">
        <f t="shared" si="18"/>
        <v>-</v>
      </c>
      <c r="AR11" s="453"/>
      <c r="AS11" s="453"/>
      <c r="AT11" s="229" t="str">
        <f t="shared" si="19"/>
        <v>-</v>
      </c>
      <c r="AU11" s="290" t="str">
        <f t="shared" si="20"/>
        <v>N/A</v>
      </c>
      <c r="AV11" s="453"/>
      <c r="AW11" s="290" t="str">
        <f t="shared" si="7"/>
        <v>N/A</v>
      </c>
      <c r="AX11" s="453"/>
      <c r="AY11" s="290" t="str">
        <f t="shared" si="21"/>
        <v>N/A</v>
      </c>
      <c r="AZ11" s="453"/>
      <c r="BA11" s="291" t="str">
        <f t="shared" si="22"/>
        <v>N/A</v>
      </c>
      <c r="BB11" s="292" t="str">
        <f t="shared" si="23"/>
        <v>-</v>
      </c>
      <c r="BC11" s="512" t="str">
        <f t="shared" si="24"/>
        <v>-</v>
      </c>
      <c r="BD11" s="293" t="str">
        <f t="shared" si="25"/>
        <v>-</v>
      </c>
      <c r="BE11" s="293" t="str">
        <f t="shared" si="26"/>
        <v>-</v>
      </c>
      <c r="BF11" s="294" t="str">
        <f t="shared" si="27"/>
        <v>-</v>
      </c>
      <c r="BG11" s="9"/>
      <c r="BH11" s="9"/>
      <c r="BI11" s="9"/>
      <c r="BJ11" s="9"/>
      <c r="BM11" s="9"/>
      <c r="BN11" s="479" t="s">
        <v>293</v>
      </c>
      <c r="BO11" s="480"/>
      <c r="BP11" s="481"/>
      <c r="BQ11" s="329">
        <f>IF($BP11-$BO11&gt;0,$BP11-$BO11,0)</f>
        <v>0</v>
      </c>
      <c r="BR11" s="330">
        <f>IF(ISBLANK(BO11),0,IF(AND(Feed!D$3&gt;$BP11,$BP11&gt;Feed!C$3),$BQ11,MAX(MIN($BP11,Feed!D$3)-$BO11,0)))</f>
        <v>0</v>
      </c>
      <c r="BS11" s="330">
        <f>IF(ISBLANK(BO11),0,IF(AND(Feed!E$3&gt;$BP11,$BP11&gt;Feed!D$3),$BQ11,MAX(MIN($BP11,Feed!E$3)-$BO11-BR11,0)))</f>
        <v>0</v>
      </c>
      <c r="BT11" s="330">
        <f>IF(ISBLANK($BO11),0,IF(OR(Feed!$F$3-$BO11&lt;0,$BP11&lt;Feed!$E$3),0,MIN($BP11,Feed!$F$3)-MAX(Feed!$E$3,$BO11)))</f>
        <v>0</v>
      </c>
      <c r="BU11" s="330">
        <f>IF($BP11&gt;Feed!$F$3,$BP11-Feed!$F$3,0)</f>
        <v>0</v>
      </c>
      <c r="BV11" s="331">
        <f>CH58</f>
        <v>0</v>
      </c>
      <c r="BW11" s="508">
        <f>CH56</f>
        <v>78.359787947924048</v>
      </c>
      <c r="BX11" s="331">
        <f>IF($BV11=0,0,$BV11-$BW11)</f>
        <v>0</v>
      </c>
      <c r="BY11" s="333" t="str">
        <f>CF56</f>
        <v>-</v>
      </c>
      <c r="BZ11" s="9"/>
      <c r="CA11" s="476"/>
      <c r="CB11" s="515">
        <f>IFERROR(VLOOKUP(CA11,Feed!$B$4:$H$19,2,FALSE)*($BR$7/$BQ$7)+VLOOKUP(CA11,Feed!$B$4:$H$19,3,FALSE)*($BS$7/$BQ$7)+VLOOKUP(CA11,Feed!$B$4:$H$19,4,FALSE)*($BT$7/$BQ$7)+VLOOKUP(CA11,Feed!$B$4:$H$19,5,FALSE)*($BU$7/$BQ$7),0)</f>
        <v>0</v>
      </c>
      <c r="CC11" s="299" t="str">
        <f t="shared" si="8"/>
        <v>-</v>
      </c>
      <c r="CD11" s="299" t="str">
        <f t="shared" si="9"/>
        <v>-</v>
      </c>
      <c r="CE11" s="482"/>
      <c r="CF11" s="299" t="str">
        <f t="shared" si="28"/>
        <v>-</v>
      </c>
      <c r="CG11" s="300">
        <f t="shared" si="10"/>
        <v>0</v>
      </c>
      <c r="CH11" s="301" t="str">
        <f t="shared" si="11"/>
        <v>-</v>
      </c>
      <c r="CI11" s="9"/>
      <c r="CL11" s="9"/>
      <c r="CM11" s="254" t="s">
        <v>224</v>
      </c>
      <c r="CN11" s="255"/>
      <c r="CO11" s="276" t="str">
        <f>IFERROR(SUMPRODUCT(CN5:CN9,CP5:CP9)/CN10,"-")</f>
        <v>-</v>
      </c>
      <c r="CP11" s="9"/>
      <c r="CQ11" s="9"/>
      <c r="CR11" s="9"/>
      <c r="CS11" s="9"/>
      <c r="CV11" s="9"/>
      <c r="CW11" s="484"/>
      <c r="CX11" s="485"/>
      <c r="CY11" s="487"/>
      <c r="CZ11" s="487"/>
      <c r="DA11" s="485"/>
      <c r="DB11" s="278">
        <f t="shared" si="13"/>
        <v>0</v>
      </c>
      <c r="DC11" s="9"/>
      <c r="DD11" s="9"/>
      <c r="DE11" s="9"/>
      <c r="DF11" s="9"/>
      <c r="DI11" s="9"/>
      <c r="DJ11" s="484"/>
      <c r="DK11" s="485"/>
      <c r="DL11" s="9" t="str">
        <f t="shared" si="0"/>
        <v>-</v>
      </c>
      <c r="DM11" s="485"/>
      <c r="DN11" s="485"/>
      <c r="DO11" s="279" t="str">
        <f t="shared" si="14"/>
        <v/>
      </c>
      <c r="DP11" s="485"/>
      <c r="DQ11" s="278" t="str">
        <f t="shared" si="15"/>
        <v/>
      </c>
      <c r="DR11" s="9"/>
      <c r="DS11" s="9"/>
      <c r="DT11" s="9"/>
      <c r="DU11" s="9"/>
      <c r="DX11" s="9"/>
      <c r="DY11" s="620" t="s">
        <v>250</v>
      </c>
      <c r="DZ11" s="621"/>
      <c r="EA11" s="621"/>
      <c r="EB11" s="622"/>
      <c r="EC11" s="9"/>
      <c r="ED11" s="9"/>
      <c r="EE11" s="9"/>
      <c r="EF11" s="9"/>
      <c r="EJ11" s="9"/>
      <c r="EK11" s="334" t="s">
        <v>265</v>
      </c>
      <c r="EL11" s="500">
        <f>EB10*R15</f>
        <v>0</v>
      </c>
      <c r="EM11" s="9"/>
      <c r="EN11" s="9"/>
      <c r="EO11" s="9"/>
      <c r="EP11" s="9"/>
    </row>
    <row r="12" spans="1:146" ht="18.95" customHeight="1" x14ac:dyDescent="0.25">
      <c r="A12" s="614" t="s">
        <v>434</v>
      </c>
      <c r="B12" s="615"/>
      <c r="C12" s="615"/>
      <c r="D12" s="615"/>
      <c r="E12" s="615"/>
      <c r="F12" s="616"/>
      <c r="G12" s="283"/>
      <c r="H12" s="284"/>
      <c r="I12" s="318" t="s">
        <v>96</v>
      </c>
      <c r="J12" s="459"/>
      <c r="K12" s="336" t="s">
        <v>56</v>
      </c>
      <c r="L12" s="284"/>
      <c r="M12" s="283"/>
      <c r="N12" s="283"/>
      <c r="O12" s="259">
        <f>SUM(R5:R12)</f>
        <v>0</v>
      </c>
      <c r="P12" s="260">
        <v>8</v>
      </c>
      <c r="Q12" s="461"/>
      <c r="R12" s="287">
        <f t="shared" si="1"/>
        <v>0</v>
      </c>
      <c r="S12" s="467"/>
      <c r="T12" s="464"/>
      <c r="U12" s="465"/>
      <c r="V12" s="468"/>
      <c r="W12" s="467"/>
      <c r="X12" s="262">
        <f t="shared" si="2"/>
        <v>0</v>
      </c>
      <c r="Y12" s="263" t="str">
        <f t="shared" si="3"/>
        <v>-</v>
      </c>
      <c r="Z12" s="264">
        <v>8</v>
      </c>
      <c r="AA12" s="474"/>
      <c r="AB12" s="474"/>
      <c r="AC12" s="467"/>
      <c r="AD12" s="262">
        <f t="shared" si="4"/>
        <v>0</v>
      </c>
      <c r="AE12" s="265" t="str">
        <f t="shared" si="5"/>
        <v>-</v>
      </c>
      <c r="AF12" s="266" t="str">
        <f t="shared" si="6"/>
        <v>-</v>
      </c>
      <c r="AG12" s="9"/>
      <c r="AH12" s="9"/>
      <c r="AI12" s="9"/>
      <c r="AJ12" s="9"/>
      <c r="AK12" s="9"/>
      <c r="AL12" s="283"/>
      <c r="AM12" s="259">
        <v>7</v>
      </c>
      <c r="AN12" s="310" t="str">
        <f t="shared" si="29"/>
        <v>-</v>
      </c>
      <c r="AO12" s="9" t="str">
        <f t="shared" si="16"/>
        <v>-</v>
      </c>
      <c r="AP12" s="289" t="str">
        <f t="shared" si="17"/>
        <v>-</v>
      </c>
      <c r="AQ12" s="9" t="str">
        <f t="shared" si="18"/>
        <v>-</v>
      </c>
      <c r="AR12" s="453"/>
      <c r="AS12" s="453"/>
      <c r="AT12" s="229" t="str">
        <f t="shared" si="19"/>
        <v>-</v>
      </c>
      <c r="AU12" s="290" t="str">
        <f t="shared" si="20"/>
        <v>N/A</v>
      </c>
      <c r="AV12" s="453"/>
      <c r="AW12" s="290" t="str">
        <f t="shared" si="7"/>
        <v>N/A</v>
      </c>
      <c r="AX12" s="453"/>
      <c r="AY12" s="290" t="str">
        <f t="shared" si="21"/>
        <v>N/A</v>
      </c>
      <c r="AZ12" s="453"/>
      <c r="BA12" s="291" t="str">
        <f t="shared" si="22"/>
        <v>N/A</v>
      </c>
      <c r="BB12" s="292" t="str">
        <f t="shared" si="23"/>
        <v>-</v>
      </c>
      <c r="BC12" s="512" t="str">
        <f t="shared" si="24"/>
        <v>-</v>
      </c>
      <c r="BD12" s="293" t="str">
        <f t="shared" si="25"/>
        <v>-</v>
      </c>
      <c r="BE12" s="293" t="str">
        <f t="shared" si="26"/>
        <v>-</v>
      </c>
      <c r="BF12" s="294" t="str">
        <f t="shared" si="27"/>
        <v>-</v>
      </c>
      <c r="BG12" s="9"/>
      <c r="BH12" s="9"/>
      <c r="BI12" s="9"/>
      <c r="BJ12" s="9"/>
      <c r="BM12" s="9"/>
      <c r="BN12" s="9"/>
      <c r="BO12" s="9"/>
      <c r="BP12" s="9" t="s">
        <v>370</v>
      </c>
      <c r="BQ12" s="337">
        <f>SUM(BQ7:BQ11)</f>
        <v>0</v>
      </c>
      <c r="BR12" s="9"/>
      <c r="BS12" s="9"/>
      <c r="BT12" s="9"/>
      <c r="BU12" s="9"/>
      <c r="BV12" s="9"/>
      <c r="BW12" s="9"/>
      <c r="BX12" s="9"/>
      <c r="BY12" s="9"/>
      <c r="BZ12" s="9"/>
      <c r="CA12" s="338" t="s">
        <v>330</v>
      </c>
      <c r="CB12" s="516">
        <f>'AUM Evaluator'!$S$9*$CB$61</f>
        <v>78.359787947924048</v>
      </c>
      <c r="CC12" s="299">
        <v>1</v>
      </c>
      <c r="CD12" s="340">
        <v>0</v>
      </c>
      <c r="CE12" s="483"/>
      <c r="CF12" s="341" t="str">
        <f t="shared" si="28"/>
        <v>-</v>
      </c>
      <c r="CG12" s="342">
        <f t="shared" si="10"/>
        <v>0</v>
      </c>
      <c r="CH12" s="343">
        <f t="shared" si="11"/>
        <v>78.359787947924048</v>
      </c>
      <c r="CI12" s="9"/>
      <c r="CL12" s="9"/>
      <c r="CM12" s="254" t="s">
        <v>255</v>
      </c>
      <c r="CN12" s="255"/>
      <c r="CO12" s="276">
        <f>MAX(AZ56,AX56,AV56,AS56,AR56)-AR56</f>
        <v>0</v>
      </c>
      <c r="CP12" s="9"/>
      <c r="CQ12" s="9"/>
      <c r="CR12" s="9"/>
      <c r="CS12" s="9"/>
      <c r="CV12" s="9"/>
      <c r="CW12" s="484"/>
      <c r="CX12" s="485"/>
      <c r="CY12" s="487"/>
      <c r="CZ12" s="487"/>
      <c r="DA12" s="485"/>
      <c r="DB12" s="278">
        <f t="shared" si="13"/>
        <v>0</v>
      </c>
      <c r="DC12" s="9"/>
      <c r="DD12" s="9"/>
      <c r="DE12" s="9"/>
      <c r="DF12" s="9"/>
      <c r="DI12" s="9"/>
      <c r="DJ12" s="484"/>
      <c r="DK12" s="485"/>
      <c r="DL12" s="9" t="str">
        <f t="shared" si="0"/>
        <v>-</v>
      </c>
      <c r="DM12" s="485"/>
      <c r="DN12" s="485"/>
      <c r="DO12" s="279" t="str">
        <f t="shared" si="14"/>
        <v/>
      </c>
      <c r="DP12" s="485"/>
      <c r="DQ12" s="278" t="str">
        <f t="shared" si="15"/>
        <v/>
      </c>
      <c r="DR12" s="9"/>
      <c r="DS12" s="9"/>
      <c r="DT12" s="9"/>
      <c r="DU12" s="9"/>
      <c r="DX12" s="9"/>
      <c r="DY12" s="304" t="s">
        <v>232</v>
      </c>
      <c r="DZ12" s="306" t="str">
        <f>ROUND(AR56,0)&amp; " pounds at $"&amp;ROUND(W15/100,2)&amp;" per pound"</f>
        <v>0 pounds at $0 per pound</v>
      </c>
      <c r="EA12" s="306"/>
      <c r="EB12" s="344">
        <f>Y15</f>
        <v>0</v>
      </c>
      <c r="EC12" s="9"/>
      <c r="ED12" s="9"/>
      <c r="EE12" s="9"/>
      <c r="EF12" s="9"/>
      <c r="EJ12" s="9"/>
      <c r="EK12" s="334" t="s">
        <v>259</v>
      </c>
      <c r="EL12" s="500">
        <f>EB10</f>
        <v>0</v>
      </c>
      <c r="EM12" s="9"/>
      <c r="EN12" s="9"/>
      <c r="EO12" s="9"/>
      <c r="EP12" s="9"/>
    </row>
    <row r="13" spans="1:146" ht="18.95" customHeight="1" thickBot="1" x14ac:dyDescent="0.3">
      <c r="G13" s="283"/>
      <c r="H13" s="284"/>
      <c r="I13" s="345" t="s">
        <v>3</v>
      </c>
      <c r="J13" s="460"/>
      <c r="K13" s="346" t="s">
        <v>46</v>
      </c>
      <c r="L13" s="284"/>
      <c r="M13" s="283"/>
      <c r="N13" s="283"/>
      <c r="O13" s="259">
        <f>SUM(R5:R13)</f>
        <v>0</v>
      </c>
      <c r="P13" s="260">
        <v>9</v>
      </c>
      <c r="Q13" s="461"/>
      <c r="R13" s="287">
        <f t="shared" si="1"/>
        <v>0</v>
      </c>
      <c r="S13" s="467"/>
      <c r="T13" s="464"/>
      <c r="U13" s="465"/>
      <c r="V13" s="468"/>
      <c r="W13" s="467"/>
      <c r="X13" s="262">
        <f t="shared" si="2"/>
        <v>0</v>
      </c>
      <c r="Y13" s="263" t="str">
        <f t="shared" si="3"/>
        <v>-</v>
      </c>
      <c r="Z13" s="264">
        <v>9</v>
      </c>
      <c r="AA13" s="474"/>
      <c r="AB13" s="474"/>
      <c r="AC13" s="467"/>
      <c r="AD13" s="262">
        <f t="shared" si="4"/>
        <v>0</v>
      </c>
      <c r="AE13" s="265" t="str">
        <f t="shared" si="5"/>
        <v>-</v>
      </c>
      <c r="AF13" s="266" t="str">
        <f t="shared" si="6"/>
        <v>-</v>
      </c>
      <c r="AG13" s="9"/>
      <c r="AH13" s="9"/>
      <c r="AI13" s="9"/>
      <c r="AJ13" s="9"/>
      <c r="AK13" s="9"/>
      <c r="AL13" s="283"/>
      <c r="AM13" s="259">
        <v>8</v>
      </c>
      <c r="AN13" s="310" t="str">
        <f t="shared" si="29"/>
        <v>-</v>
      </c>
      <c r="AO13" s="9" t="str">
        <f t="shared" si="16"/>
        <v>-</v>
      </c>
      <c r="AP13" s="289" t="str">
        <f t="shared" si="17"/>
        <v>-</v>
      </c>
      <c r="AQ13" s="9" t="str">
        <f t="shared" si="18"/>
        <v>-</v>
      </c>
      <c r="AR13" s="453"/>
      <c r="AS13" s="453"/>
      <c r="AT13" s="229" t="str">
        <f t="shared" si="19"/>
        <v>-</v>
      </c>
      <c r="AU13" s="290" t="str">
        <f t="shared" si="20"/>
        <v>N/A</v>
      </c>
      <c r="AV13" s="453"/>
      <c r="AW13" s="290" t="str">
        <f t="shared" si="7"/>
        <v>N/A</v>
      </c>
      <c r="AX13" s="453"/>
      <c r="AY13" s="290" t="str">
        <f t="shared" si="21"/>
        <v>N/A</v>
      </c>
      <c r="AZ13" s="453"/>
      <c r="BA13" s="291" t="str">
        <f t="shared" si="22"/>
        <v>N/A</v>
      </c>
      <c r="BB13" s="292" t="str">
        <f t="shared" si="23"/>
        <v>-</v>
      </c>
      <c r="BC13" s="512" t="str">
        <f t="shared" si="24"/>
        <v>-</v>
      </c>
      <c r="BD13" s="293" t="str">
        <f t="shared" si="25"/>
        <v>-</v>
      </c>
      <c r="BE13" s="293" t="str">
        <f t="shared" si="26"/>
        <v>-</v>
      </c>
      <c r="BF13" s="294" t="str">
        <f t="shared" si="27"/>
        <v>-</v>
      </c>
      <c r="BG13" s="9"/>
      <c r="BH13" s="259" t="s">
        <v>301</v>
      </c>
      <c r="BI13" s="9"/>
      <c r="BJ13" s="9"/>
      <c r="BN13" s="347" t="s">
        <v>293</v>
      </c>
      <c r="BZ13" s="9"/>
      <c r="CA13" s="348"/>
      <c r="CB13" s="349"/>
      <c r="CC13" s="350" t="s">
        <v>58</v>
      </c>
      <c r="CD13" s="351"/>
      <c r="CE13" s="352">
        <f>SUM(CE6:CE12)</f>
        <v>0</v>
      </c>
      <c r="CF13" s="353">
        <f>SUM(CF6:CF12)</f>
        <v>0</v>
      </c>
      <c r="CG13" s="352">
        <f t="shared" si="10"/>
        <v>0</v>
      </c>
      <c r="CH13" s="354"/>
      <c r="CI13" s="9"/>
      <c r="CL13" s="9"/>
      <c r="CM13" s="254" t="s">
        <v>254</v>
      </c>
      <c r="CN13" s="255"/>
      <c r="CO13" s="276" t="str">
        <f>BD56</f>
        <v>-</v>
      </c>
      <c r="CP13" s="9"/>
      <c r="CQ13" s="9"/>
      <c r="CR13" s="9"/>
      <c r="CS13" s="9"/>
      <c r="CV13" s="9"/>
      <c r="CW13" s="484"/>
      <c r="CX13" s="485"/>
      <c r="CY13" s="487"/>
      <c r="CZ13" s="487"/>
      <c r="DA13" s="485"/>
      <c r="DB13" s="278">
        <f t="shared" si="13"/>
        <v>0</v>
      </c>
      <c r="DC13" s="9"/>
      <c r="DD13" s="9"/>
      <c r="DE13" s="9"/>
      <c r="DF13" s="9"/>
      <c r="DI13" s="9"/>
      <c r="DJ13" s="484"/>
      <c r="DK13" s="485"/>
      <c r="DL13" s="9" t="str">
        <f t="shared" si="0"/>
        <v>-</v>
      </c>
      <c r="DM13" s="485"/>
      <c r="DN13" s="485"/>
      <c r="DO13" s="279" t="str">
        <f t="shared" si="14"/>
        <v/>
      </c>
      <c r="DP13" s="485"/>
      <c r="DQ13" s="278" t="str">
        <f t="shared" si="15"/>
        <v/>
      </c>
      <c r="DR13" s="9"/>
      <c r="DS13" s="9"/>
      <c r="DT13" s="9"/>
      <c r="DU13" s="9"/>
      <c r="DX13" s="9"/>
      <c r="DY13" s="304" t="s">
        <v>238</v>
      </c>
      <c r="DZ13" s="306"/>
      <c r="EA13" s="306"/>
      <c r="EB13" s="344">
        <f>J6</f>
        <v>0</v>
      </c>
      <c r="EC13" s="9"/>
      <c r="ED13" s="9"/>
      <c r="EE13" s="9"/>
      <c r="EF13" s="9"/>
      <c r="EJ13" s="9"/>
      <c r="EK13" s="334" t="s">
        <v>128</v>
      </c>
      <c r="EL13" s="501">
        <f>EB24*R15</f>
        <v>0</v>
      </c>
      <c r="EM13" s="9"/>
      <c r="EN13" s="9"/>
      <c r="EO13" s="9"/>
      <c r="EP13" s="9"/>
    </row>
    <row r="14" spans="1:146" ht="18.95" customHeight="1" thickBot="1" x14ac:dyDescent="0.3">
      <c r="H14" s="9"/>
      <c r="I14" s="356"/>
      <c r="J14" s="9"/>
      <c r="K14" s="9"/>
      <c r="L14" s="9"/>
      <c r="O14" s="259">
        <f>SUM(R5:R14)</f>
        <v>0</v>
      </c>
      <c r="P14" s="357">
        <v>10</v>
      </c>
      <c r="Q14" s="462"/>
      <c r="R14" s="358">
        <f t="shared" si="1"/>
        <v>0</v>
      </c>
      <c r="S14" s="469"/>
      <c r="T14" s="470"/>
      <c r="U14" s="471"/>
      <c r="V14" s="472"/>
      <c r="W14" s="473"/>
      <c r="X14" s="359">
        <f t="shared" si="2"/>
        <v>0</v>
      </c>
      <c r="Y14" s="360" t="str">
        <f t="shared" si="3"/>
        <v>-</v>
      </c>
      <c r="Z14" s="527">
        <v>10</v>
      </c>
      <c r="AA14" s="475"/>
      <c r="AB14" s="475"/>
      <c r="AC14" s="473"/>
      <c r="AD14" s="359">
        <f t="shared" si="4"/>
        <v>0</v>
      </c>
      <c r="AE14" s="361" t="str">
        <f t="shared" si="5"/>
        <v>-</v>
      </c>
      <c r="AF14" s="362" t="str">
        <f t="shared" si="6"/>
        <v>-</v>
      </c>
      <c r="AG14" s="9"/>
      <c r="AH14" s="9"/>
      <c r="AI14" s="9"/>
      <c r="AJ14" s="9"/>
      <c r="AK14" s="9"/>
      <c r="AM14" s="259">
        <v>9</v>
      </c>
      <c r="AN14" s="310" t="str">
        <f t="shared" si="29"/>
        <v>-</v>
      </c>
      <c r="AO14" s="9" t="str">
        <f t="shared" si="16"/>
        <v>-</v>
      </c>
      <c r="AP14" s="289" t="str">
        <f t="shared" si="17"/>
        <v>-</v>
      </c>
      <c r="AQ14" s="9" t="str">
        <f t="shared" si="18"/>
        <v>-</v>
      </c>
      <c r="AR14" s="453"/>
      <c r="AS14" s="453"/>
      <c r="AT14" s="229" t="str">
        <f t="shared" si="19"/>
        <v>-</v>
      </c>
      <c r="AU14" s="290" t="str">
        <f t="shared" si="20"/>
        <v>N/A</v>
      </c>
      <c r="AV14" s="453"/>
      <c r="AW14" s="290" t="str">
        <f t="shared" si="7"/>
        <v>N/A</v>
      </c>
      <c r="AX14" s="453"/>
      <c r="AY14" s="290" t="str">
        <f t="shared" si="21"/>
        <v>N/A</v>
      </c>
      <c r="AZ14" s="453"/>
      <c r="BA14" s="291" t="str">
        <f t="shared" si="22"/>
        <v>N/A</v>
      </c>
      <c r="BB14" s="292" t="str">
        <f t="shared" si="23"/>
        <v>-</v>
      </c>
      <c r="BC14" s="512" t="str">
        <f t="shared" si="24"/>
        <v>-</v>
      </c>
      <c r="BD14" s="293" t="str">
        <f t="shared" si="25"/>
        <v>-</v>
      </c>
      <c r="BE14" s="293" t="str">
        <f t="shared" si="26"/>
        <v>-</v>
      </c>
      <c r="BF14" s="294" t="str">
        <f t="shared" si="27"/>
        <v>-</v>
      </c>
      <c r="BG14" s="9"/>
      <c r="BH14" s="259" t="s">
        <v>302</v>
      </c>
      <c r="BI14" s="9"/>
      <c r="BJ14" s="9"/>
      <c r="BN14" s="347" t="s">
        <v>293</v>
      </c>
      <c r="BO14" s="213"/>
      <c r="BP14" s="213"/>
      <c r="BQ14" s="213"/>
      <c r="BR14" s="213"/>
      <c r="BS14" s="213"/>
      <c r="BT14" s="213"/>
      <c r="BU14" s="213"/>
      <c r="BZ14" s="9"/>
      <c r="CA14" s="363"/>
      <c r="CB14" s="364"/>
      <c r="CC14" s="365"/>
      <c r="CD14" s="366" t="s">
        <v>226</v>
      </c>
      <c r="CE14" s="366"/>
      <c r="CF14" s="367"/>
      <c r="CG14" s="367"/>
      <c r="CH14" s="368">
        <f>SUMPRODUCT(CF6:CF12,CH6:CH12,CC6:CC12)</f>
        <v>0</v>
      </c>
      <c r="CI14" s="9"/>
      <c r="CL14" s="9"/>
      <c r="CM14" s="254" t="s">
        <v>257</v>
      </c>
      <c r="CN14" s="255"/>
      <c r="CO14" s="276">
        <f>IFERROR(CO18/CO12,)</f>
        <v>0</v>
      </c>
      <c r="CP14" s="9"/>
      <c r="CQ14" s="9"/>
      <c r="CR14" s="9"/>
      <c r="CS14" s="9"/>
      <c r="CV14" s="9"/>
      <c r="CW14" s="484"/>
      <c r="CX14" s="485"/>
      <c r="CY14" s="487"/>
      <c r="CZ14" s="487"/>
      <c r="DA14" s="485"/>
      <c r="DB14" s="278">
        <f t="shared" si="13"/>
        <v>0</v>
      </c>
      <c r="DC14" s="9"/>
      <c r="DD14" s="9"/>
      <c r="DE14" s="9"/>
      <c r="DF14" s="9"/>
      <c r="DI14" s="9"/>
      <c r="DJ14" s="484"/>
      <c r="DK14" s="485"/>
      <c r="DL14" s="9" t="str">
        <f t="shared" si="0"/>
        <v>-</v>
      </c>
      <c r="DM14" s="485"/>
      <c r="DN14" s="485"/>
      <c r="DO14" s="279" t="str">
        <f t="shared" si="14"/>
        <v/>
      </c>
      <c r="DP14" s="485"/>
      <c r="DQ14" s="278" t="str">
        <f t="shared" si="15"/>
        <v/>
      </c>
      <c r="DR14" s="9"/>
      <c r="DS14" s="9"/>
      <c r="DT14" s="9"/>
      <c r="DU14" s="9"/>
      <c r="DX14" s="9"/>
      <c r="DY14" s="304" t="s">
        <v>122</v>
      </c>
      <c r="DZ14" s="306"/>
      <c r="EA14" s="306"/>
      <c r="EB14" s="344" t="str">
        <f>IFERROR(CO18,)</f>
        <v>-</v>
      </c>
      <c r="EC14" s="9"/>
      <c r="ED14" s="9"/>
      <c r="EE14" s="9"/>
      <c r="EF14" s="9"/>
      <c r="EJ14" s="9"/>
      <c r="EK14" s="334" t="s">
        <v>260</v>
      </c>
      <c r="EL14" s="501">
        <f>EB24</f>
        <v>0</v>
      </c>
      <c r="EM14" s="9"/>
      <c r="EN14" s="9"/>
      <c r="EO14" s="9"/>
      <c r="EP14" s="9"/>
    </row>
    <row r="15" spans="1:146" ht="18.95" customHeight="1" thickBot="1" x14ac:dyDescent="0.3">
      <c r="H15" s="9"/>
      <c r="I15" s="9"/>
      <c r="J15" s="9"/>
      <c r="K15" s="9"/>
      <c r="L15" s="9"/>
      <c r="O15" s="9"/>
      <c r="P15" s="369"/>
      <c r="Q15" s="370" t="s">
        <v>186</v>
      </c>
      <c r="R15" s="370">
        <f>SUM(R5:R14)</f>
        <v>0</v>
      </c>
      <c r="S15" s="370"/>
      <c r="T15" s="370"/>
      <c r="U15" s="370"/>
      <c r="V15" s="371" t="str">
        <f>IFERROR(SUMPRODUCT(R5:R14,V5:V14)/R15,"-")</f>
        <v>-</v>
      </c>
      <c r="W15" s="372">
        <f>IFERROR(AVERAGE(W5:W14),)</f>
        <v>0</v>
      </c>
      <c r="X15" s="372">
        <f>SUM(X5:X14)</f>
        <v>0</v>
      </c>
      <c r="Y15" s="373">
        <f>IFERROR(AVERAGE(Y5:Y14),)</f>
        <v>0</v>
      </c>
      <c r="Z15" s="372"/>
      <c r="AA15" s="374">
        <f>SUM(AA5:AA14)</f>
        <v>0</v>
      </c>
      <c r="AB15" s="371" t="str">
        <f>IFERROR(SUMPRODUCT(AA5:AA14,AB5:AB14)/AA15,"-")</f>
        <v>-</v>
      </c>
      <c r="AC15" s="372">
        <f>IFERROR(SUMPRODUCT(AA5:AA14,AC5:AC14,AB5:AB14)/(AA15*AB15),)</f>
        <v>0</v>
      </c>
      <c r="AD15" s="372">
        <f>SUM(AD5:AD14)</f>
        <v>0</v>
      </c>
      <c r="AE15" s="372">
        <f>IFERROR(AVERAGE(AE5:AE14),)</f>
        <v>0</v>
      </c>
      <c r="AF15" s="373">
        <f>IFERROR(SUMPRODUCT(AF5:AF14,AA5:AA14)/AA15,0)</f>
        <v>0</v>
      </c>
      <c r="AG15" s="9"/>
      <c r="AH15" s="9"/>
      <c r="AI15" s="9"/>
      <c r="AJ15" s="9"/>
      <c r="AK15" s="9"/>
      <c r="AM15" s="259">
        <v>10</v>
      </c>
      <c r="AN15" s="310" t="str">
        <f t="shared" si="29"/>
        <v>-</v>
      </c>
      <c r="AO15" s="9" t="str">
        <f t="shared" si="16"/>
        <v>-</v>
      </c>
      <c r="AP15" s="289" t="str">
        <f t="shared" si="17"/>
        <v>-</v>
      </c>
      <c r="AQ15" s="9" t="str">
        <f t="shared" si="18"/>
        <v>-</v>
      </c>
      <c r="AR15" s="453"/>
      <c r="AS15" s="453"/>
      <c r="AT15" s="229" t="str">
        <f t="shared" si="19"/>
        <v>-</v>
      </c>
      <c r="AU15" s="290" t="str">
        <f t="shared" si="20"/>
        <v>N/A</v>
      </c>
      <c r="AV15" s="453"/>
      <c r="AW15" s="290" t="str">
        <f t="shared" si="7"/>
        <v>N/A</v>
      </c>
      <c r="AX15" s="453"/>
      <c r="AY15" s="290" t="str">
        <f t="shared" si="21"/>
        <v>N/A</v>
      </c>
      <c r="AZ15" s="453"/>
      <c r="BA15" s="291" t="str">
        <f t="shared" si="22"/>
        <v>N/A</v>
      </c>
      <c r="BB15" s="292" t="str">
        <f t="shared" si="23"/>
        <v>-</v>
      </c>
      <c r="BC15" s="512" t="str">
        <f t="shared" si="24"/>
        <v>-</v>
      </c>
      <c r="BD15" s="293" t="str">
        <f t="shared" si="25"/>
        <v>-</v>
      </c>
      <c r="BE15" s="293" t="str">
        <f t="shared" si="26"/>
        <v>-</v>
      </c>
      <c r="BF15" s="294" t="str">
        <f t="shared" si="27"/>
        <v>-</v>
      </c>
      <c r="BG15" s="9"/>
      <c r="BH15" s="9"/>
      <c r="BI15" s="9"/>
      <c r="BJ15" s="9"/>
      <c r="BN15" s="347" t="s">
        <v>293</v>
      </c>
      <c r="BZ15" s="9"/>
      <c r="CA15" s="9" t="s">
        <v>227</v>
      </c>
      <c r="CB15" s="9"/>
      <c r="CC15" s="9"/>
      <c r="CD15" s="9"/>
      <c r="CE15" s="9"/>
      <c r="CF15" s="9"/>
      <c r="CG15" s="9"/>
      <c r="CH15" s="9"/>
      <c r="CI15" s="9"/>
      <c r="CL15" s="9"/>
      <c r="CM15" s="254" t="s">
        <v>207</v>
      </c>
      <c r="CN15" s="255"/>
      <c r="CO15" s="375" t="str">
        <f>IFERROR(SUMPRODUCT(CN5:CN9,CQ5:CQ9)/CN10,"-")</f>
        <v>-</v>
      </c>
      <c r="CP15" s="9"/>
      <c r="CQ15" s="9"/>
      <c r="CR15" s="9"/>
      <c r="CS15" s="9"/>
      <c r="CV15" s="9"/>
      <c r="CW15" s="484"/>
      <c r="CX15" s="485"/>
      <c r="CY15" s="487"/>
      <c r="CZ15" s="487"/>
      <c r="DA15" s="485"/>
      <c r="DB15" s="278">
        <f t="shared" si="13"/>
        <v>0</v>
      </c>
      <c r="DC15" s="9"/>
      <c r="DD15" s="9"/>
      <c r="DE15" s="9"/>
      <c r="DF15" s="9"/>
      <c r="DI15" s="9"/>
      <c r="DJ15" s="484"/>
      <c r="DK15" s="485"/>
      <c r="DL15" s="9" t="str">
        <f t="shared" si="0"/>
        <v>-</v>
      </c>
      <c r="DM15" s="485"/>
      <c r="DN15" s="485"/>
      <c r="DO15" s="279" t="str">
        <f t="shared" si="14"/>
        <v/>
      </c>
      <c r="DP15" s="485"/>
      <c r="DQ15" s="278" t="str">
        <f t="shared" si="15"/>
        <v/>
      </c>
      <c r="DR15" s="9"/>
      <c r="DS15" s="9"/>
      <c r="DT15" s="9"/>
      <c r="DU15" s="9"/>
      <c r="DX15" s="9"/>
      <c r="DY15" s="304"/>
      <c r="DZ15" s="306"/>
      <c r="EA15" s="306"/>
      <c r="EB15" s="344"/>
      <c r="EC15" s="9"/>
      <c r="ED15" s="9"/>
      <c r="EE15" s="9"/>
      <c r="EF15" s="9"/>
      <c r="EJ15" s="9"/>
      <c r="EK15" s="334" t="s">
        <v>353</v>
      </c>
      <c r="EL15" s="501">
        <f>EB25*R15</f>
        <v>0</v>
      </c>
      <c r="EM15" s="9"/>
      <c r="EN15" s="9"/>
      <c r="EO15" s="9"/>
      <c r="EP15" s="9"/>
    </row>
    <row r="16" spans="1:146" ht="31.5" x14ac:dyDescent="0.25">
      <c r="O16" s="9"/>
      <c r="P16" s="9"/>
      <c r="Q16" s="9"/>
      <c r="R16" s="9"/>
      <c r="S16" s="9"/>
      <c r="T16" s="9"/>
      <c r="U16" s="9"/>
      <c r="V16" s="9"/>
      <c r="W16" s="9"/>
      <c r="X16" s="9"/>
      <c r="Y16" s="9"/>
      <c r="Z16" s="9"/>
      <c r="AA16" s="9"/>
      <c r="AB16" s="9"/>
      <c r="AC16" s="9"/>
      <c r="AD16" s="9"/>
      <c r="AE16" s="9"/>
      <c r="AF16" s="9"/>
      <c r="AG16" s="9"/>
      <c r="AH16" s="9"/>
      <c r="AI16" s="9"/>
      <c r="AJ16" s="9"/>
      <c r="AK16" s="9"/>
      <c r="AM16" s="259">
        <v>11</v>
      </c>
      <c r="AN16" s="310" t="str">
        <f t="shared" si="29"/>
        <v>-</v>
      </c>
      <c r="AO16" s="9" t="str">
        <f t="shared" si="16"/>
        <v>-</v>
      </c>
      <c r="AP16" s="289" t="str">
        <f t="shared" si="17"/>
        <v>-</v>
      </c>
      <c r="AQ16" s="9" t="str">
        <f t="shared" si="18"/>
        <v>-</v>
      </c>
      <c r="AR16" s="453"/>
      <c r="AS16" s="453"/>
      <c r="AT16" s="229" t="str">
        <f t="shared" si="19"/>
        <v>-</v>
      </c>
      <c r="AU16" s="290" t="str">
        <f>IFERROR(IF((AS16-AR16)/AT16&lt;-5,"CHECK INPUTS",(AS16-AR16)/AT16),"N/A")</f>
        <v>N/A</v>
      </c>
      <c r="AV16" s="453"/>
      <c r="AW16" s="290" t="str">
        <f t="shared" si="7"/>
        <v>N/A</v>
      </c>
      <c r="AX16" s="453"/>
      <c r="AY16" s="290" t="str">
        <f t="shared" si="21"/>
        <v>N/A</v>
      </c>
      <c r="AZ16" s="453"/>
      <c r="BA16" s="291" t="str">
        <f t="shared" si="22"/>
        <v>N/A</v>
      </c>
      <c r="BB16" s="292" t="str">
        <f t="shared" si="23"/>
        <v>-</v>
      </c>
      <c r="BC16" s="512" t="str">
        <f t="shared" si="24"/>
        <v>-</v>
      </c>
      <c r="BD16" s="293" t="str">
        <f t="shared" si="25"/>
        <v>-</v>
      </c>
      <c r="BE16" s="293" t="str">
        <f t="shared" si="26"/>
        <v>-</v>
      </c>
      <c r="BF16" s="294" t="str">
        <f t="shared" si="27"/>
        <v>-</v>
      </c>
      <c r="BG16" s="9"/>
      <c r="BH16" s="9"/>
      <c r="BI16" s="9"/>
      <c r="BJ16" s="9"/>
      <c r="BN16" s="347" t="s">
        <v>293</v>
      </c>
      <c r="BZ16" s="9"/>
      <c r="CA16" s="273" t="str">
        <f>IF(BN8=BN17,"-",BN8)</f>
        <v>-</v>
      </c>
      <c r="CB16" s="54" t="s">
        <v>328</v>
      </c>
      <c r="CC16" s="54" t="s">
        <v>205</v>
      </c>
      <c r="CD16" s="54" t="s">
        <v>95</v>
      </c>
      <c r="CE16" s="54" t="s">
        <v>326</v>
      </c>
      <c r="CF16" s="54" t="s">
        <v>206</v>
      </c>
      <c r="CG16" s="54" t="s">
        <v>234</v>
      </c>
      <c r="CH16" s="274" t="s">
        <v>209</v>
      </c>
      <c r="CI16" s="9"/>
      <c r="CL16" s="9"/>
      <c r="CM16" s="254" t="s">
        <v>256</v>
      </c>
      <c r="CN16" s="255"/>
      <c r="CO16" s="276" t="str">
        <f>IFERROR(CO10*CO15,"-")</f>
        <v>-</v>
      </c>
      <c r="CP16" s="9"/>
      <c r="CQ16" s="9"/>
      <c r="CR16" s="9"/>
      <c r="CS16" s="9"/>
      <c r="CV16" s="9"/>
      <c r="CW16" s="484"/>
      <c r="CX16" s="485"/>
      <c r="CY16" s="487"/>
      <c r="CZ16" s="487"/>
      <c r="DA16" s="485"/>
      <c r="DB16" s="278">
        <f t="shared" si="13"/>
        <v>0</v>
      </c>
      <c r="DC16" s="9"/>
      <c r="DD16" s="9"/>
      <c r="DE16" s="9"/>
      <c r="DF16" s="9"/>
      <c r="DI16" s="9"/>
      <c r="DJ16" s="484"/>
      <c r="DK16" s="485"/>
      <c r="DL16" s="9" t="str">
        <f t="shared" si="0"/>
        <v>-</v>
      </c>
      <c r="DM16" s="485"/>
      <c r="DN16" s="485"/>
      <c r="DO16" s="279" t="str">
        <f t="shared" si="14"/>
        <v/>
      </c>
      <c r="DP16" s="485"/>
      <c r="DQ16" s="278" t="str">
        <f t="shared" si="15"/>
        <v/>
      </c>
      <c r="DR16" s="9"/>
      <c r="DS16" s="9"/>
      <c r="DT16" s="9"/>
      <c r="DU16" s="9"/>
      <c r="DX16" s="9"/>
      <c r="DY16" s="625" t="s">
        <v>410</v>
      </c>
      <c r="DZ16" s="306" t="s">
        <v>325</v>
      </c>
      <c r="EA16" s="306"/>
      <c r="EB16" s="344">
        <f>DB19</f>
        <v>0</v>
      </c>
      <c r="EC16" s="9"/>
      <c r="ED16" s="9"/>
      <c r="EE16" s="9"/>
      <c r="EF16" s="9"/>
      <c r="EJ16" s="9"/>
      <c r="EK16" s="334" t="s">
        <v>352</v>
      </c>
      <c r="EL16" s="502">
        <f>EB25</f>
        <v>0</v>
      </c>
      <c r="EM16" s="9"/>
      <c r="EN16" s="9"/>
      <c r="EO16" s="9"/>
      <c r="EP16" s="9"/>
    </row>
    <row r="17" spans="39:146" ht="18.95" customHeight="1" thickBot="1" x14ac:dyDescent="0.3">
      <c r="AM17" s="259">
        <v>12</v>
      </c>
      <c r="AN17" s="310" t="str">
        <f t="shared" si="29"/>
        <v>-</v>
      </c>
      <c r="AO17" s="9" t="str">
        <f t="shared" si="16"/>
        <v>-</v>
      </c>
      <c r="AP17" s="289" t="str">
        <f t="shared" si="17"/>
        <v>-</v>
      </c>
      <c r="AQ17" s="9" t="str">
        <f t="shared" si="18"/>
        <v>-</v>
      </c>
      <c r="AR17" s="453"/>
      <c r="AS17" s="453"/>
      <c r="AT17" s="229" t="str">
        <f t="shared" si="19"/>
        <v>-</v>
      </c>
      <c r="AU17" s="290" t="str">
        <f t="shared" si="20"/>
        <v>N/A</v>
      </c>
      <c r="AV17" s="453"/>
      <c r="AW17" s="290" t="str">
        <f t="shared" si="7"/>
        <v>N/A</v>
      </c>
      <c r="AX17" s="453"/>
      <c r="AY17" s="290" t="str">
        <f t="shared" si="21"/>
        <v>N/A</v>
      </c>
      <c r="AZ17" s="453"/>
      <c r="BA17" s="291" t="str">
        <f t="shared" si="22"/>
        <v>N/A</v>
      </c>
      <c r="BB17" s="292" t="str">
        <f t="shared" si="23"/>
        <v>-</v>
      </c>
      <c r="BC17" s="512" t="str">
        <f t="shared" si="24"/>
        <v>-</v>
      </c>
      <c r="BD17" s="293" t="str">
        <f t="shared" si="25"/>
        <v>-</v>
      </c>
      <c r="BE17" s="293" t="str">
        <f t="shared" si="26"/>
        <v>-</v>
      </c>
      <c r="BF17" s="294" t="str">
        <f t="shared" si="27"/>
        <v>-</v>
      </c>
      <c r="BG17" s="9"/>
      <c r="BH17" s="9"/>
      <c r="BI17" s="9"/>
      <c r="BJ17" s="9"/>
      <c r="BN17" s="347" t="s">
        <v>293</v>
      </c>
      <c r="BZ17" s="9"/>
      <c r="CA17" s="476"/>
      <c r="CB17" s="515">
        <f>IFERROR(VLOOKUP(CA17,Feed!$B$4:$H$19,2,FALSE)*($BR$8/$BQ$8)+VLOOKUP(CA17,Feed!$B$4:$H$19,3,FALSE)*($BS$8/$BQ$8)+VLOOKUP(CA17,Feed!$B$4:$H$19,4,FALSE)*($BT$8/$BQ$8)+VLOOKUP(CA17,Feed!$B$4:$H$19,5,FALSE)*($BU$8/$BQ$8),0)</f>
        <v>0</v>
      </c>
      <c r="CC17" s="299" t="str">
        <f t="shared" ref="CC17:CC22" si="30">IFERROR(VLOOKUP($CA17,FeedIngLst,6,FALSE),"-")</f>
        <v>-</v>
      </c>
      <c r="CD17" s="299" t="str">
        <f t="shared" ref="CD17:CD22" si="31">IFERROR(VLOOKUP($CA17,FeedIngLst,7,FALSE),"-")</f>
        <v>-</v>
      </c>
      <c r="CE17" s="482"/>
      <c r="CF17" s="299" t="str">
        <f>IFERROR(CE17/$CE$24,"-")</f>
        <v>-</v>
      </c>
      <c r="CG17" s="300">
        <f t="shared" ref="CG17:CG24" si="32">CE17*$R$15*$BQ$8/2000</f>
        <v>0</v>
      </c>
      <c r="CH17" s="301" t="str">
        <f t="shared" ref="CH17:CH23" si="33">IFERROR($CB17/$CC17/(1-$CD17),"-")</f>
        <v>-</v>
      </c>
      <c r="CI17" s="9"/>
      <c r="CL17" s="9"/>
      <c r="CM17" s="254" t="s">
        <v>233</v>
      </c>
      <c r="CN17" s="255"/>
      <c r="CO17" s="375" t="str">
        <f>IFERROR(CO10/R15,"-")</f>
        <v>-</v>
      </c>
      <c r="CP17" s="9"/>
      <c r="CQ17" s="9"/>
      <c r="CR17" s="9"/>
      <c r="CS17" s="9"/>
      <c r="CV17" s="9"/>
      <c r="CW17" s="484"/>
      <c r="CX17" s="485"/>
      <c r="CY17" s="487"/>
      <c r="CZ17" s="487"/>
      <c r="DA17" s="485"/>
      <c r="DB17" s="278">
        <f t="shared" si="13"/>
        <v>0</v>
      </c>
      <c r="DC17" s="9"/>
      <c r="DD17" s="9"/>
      <c r="DE17" s="9"/>
      <c r="DF17" s="9"/>
      <c r="DI17" s="9"/>
      <c r="DJ17" s="484"/>
      <c r="DK17" s="485"/>
      <c r="DL17" s="9" t="str">
        <f t="shared" si="0"/>
        <v>-</v>
      </c>
      <c r="DM17" s="485"/>
      <c r="DN17" s="485"/>
      <c r="DO17" s="279" t="str">
        <f t="shared" si="14"/>
        <v/>
      </c>
      <c r="DP17" s="485"/>
      <c r="DQ17" s="278" t="str">
        <f t="shared" si="15"/>
        <v/>
      </c>
      <c r="DR17" s="9"/>
      <c r="DS17" s="9"/>
      <c r="DT17" s="9"/>
      <c r="DU17" s="9"/>
      <c r="DX17" s="9"/>
      <c r="DY17" s="625"/>
      <c r="DZ17" s="306" t="s">
        <v>235</v>
      </c>
      <c r="EA17" s="306"/>
      <c r="EB17" s="377" t="str">
        <f>IFERROR(DQ30/R15,"-")</f>
        <v>-</v>
      </c>
      <c r="EC17" s="9"/>
      <c r="ED17" s="9"/>
      <c r="EE17" s="9"/>
      <c r="EF17" s="9"/>
      <c r="EJ17" s="9"/>
      <c r="EK17" s="378" t="s">
        <v>261</v>
      </c>
      <c r="EL17" s="503">
        <f>IFERROR((EL11-EL13)/EL13,)</f>
        <v>0</v>
      </c>
      <c r="EM17" s="9"/>
      <c r="EN17" s="9"/>
      <c r="EO17" s="9"/>
      <c r="EP17" s="9"/>
    </row>
    <row r="18" spans="39:146" ht="18.95" customHeight="1" x14ac:dyDescent="0.25">
      <c r="AM18" s="259">
        <v>13</v>
      </c>
      <c r="AN18" s="310" t="str">
        <f t="shared" si="29"/>
        <v>-</v>
      </c>
      <c r="AO18" s="9" t="str">
        <f t="shared" si="16"/>
        <v>-</v>
      </c>
      <c r="AP18" s="289" t="str">
        <f t="shared" si="17"/>
        <v>-</v>
      </c>
      <c r="AQ18" s="9" t="str">
        <f t="shared" si="18"/>
        <v>-</v>
      </c>
      <c r="AR18" s="453"/>
      <c r="AS18" s="453"/>
      <c r="AT18" s="229" t="str">
        <f t="shared" si="19"/>
        <v>-</v>
      </c>
      <c r="AU18" s="290" t="str">
        <f t="shared" si="20"/>
        <v>N/A</v>
      </c>
      <c r="AV18" s="453"/>
      <c r="AW18" s="290" t="str">
        <f t="shared" si="7"/>
        <v>N/A</v>
      </c>
      <c r="AX18" s="453"/>
      <c r="AY18" s="290" t="str">
        <f t="shared" si="21"/>
        <v>N/A</v>
      </c>
      <c r="AZ18" s="453"/>
      <c r="BA18" s="291" t="str">
        <f t="shared" si="22"/>
        <v>N/A</v>
      </c>
      <c r="BB18" s="292" t="str">
        <f t="shared" si="23"/>
        <v>-</v>
      </c>
      <c r="BC18" s="512" t="str">
        <f t="shared" si="24"/>
        <v>-</v>
      </c>
      <c r="BD18" s="293" t="str">
        <f t="shared" si="25"/>
        <v>-</v>
      </c>
      <c r="BE18" s="293" t="str">
        <f t="shared" si="26"/>
        <v>-</v>
      </c>
      <c r="BF18" s="294" t="str">
        <f t="shared" si="27"/>
        <v>-</v>
      </c>
      <c r="BG18" s="9"/>
      <c r="BH18" s="9"/>
      <c r="BI18" s="9"/>
      <c r="BJ18" s="9"/>
      <c r="BZ18" s="9"/>
      <c r="CA18" s="476"/>
      <c r="CB18" s="515">
        <f>IFERROR(VLOOKUP(CA18,Feed!$B$4:$H$19,2,FALSE)*($BR$8/$BQ$8)+VLOOKUP(CA18,Feed!$B$4:$H$19,3,FALSE)*($BS$8/$BQ$8)+VLOOKUP(CA18,Feed!$B$4:$H$19,4,FALSE)*($BT$8/$BQ$8)+VLOOKUP(CA18,Feed!$B$4:$H$19,5,FALSE)*($BU$8/$BQ$8),0)</f>
        <v>0</v>
      </c>
      <c r="CC18" s="299" t="str">
        <f t="shared" si="30"/>
        <v>-</v>
      </c>
      <c r="CD18" s="299" t="str">
        <f t="shared" si="31"/>
        <v>-</v>
      </c>
      <c r="CE18" s="482"/>
      <c r="CF18" s="299" t="str">
        <f t="shared" ref="CF18:CF23" si="34">IFERROR(CE18/$CE$24,"-")</f>
        <v>-</v>
      </c>
      <c r="CG18" s="300">
        <f t="shared" si="32"/>
        <v>0</v>
      </c>
      <c r="CH18" s="301" t="str">
        <f t="shared" si="33"/>
        <v>-</v>
      </c>
      <c r="CI18" s="9"/>
      <c r="CL18" s="9"/>
      <c r="CM18" s="380" t="s">
        <v>59</v>
      </c>
      <c r="CN18" s="381"/>
      <c r="CO18" s="382" t="str">
        <f>IFERROR(CO16/R15,"-")</f>
        <v>-</v>
      </c>
      <c r="CP18" s="9"/>
      <c r="CQ18" s="9"/>
      <c r="CR18" s="9"/>
      <c r="CS18" s="9"/>
      <c r="CV18" s="9"/>
      <c r="CW18" s="486"/>
      <c r="CX18" s="473"/>
      <c r="CY18" s="488"/>
      <c r="CZ18" s="488"/>
      <c r="DA18" s="473"/>
      <c r="DB18" s="383">
        <f t="shared" si="13"/>
        <v>0</v>
      </c>
      <c r="DC18" s="9"/>
      <c r="DD18" s="9"/>
      <c r="DE18" s="9"/>
      <c r="DF18" s="9"/>
      <c r="DI18" s="9"/>
      <c r="DJ18" s="484"/>
      <c r="DK18" s="485"/>
      <c r="DL18" s="9" t="str">
        <f t="shared" si="0"/>
        <v>-</v>
      </c>
      <c r="DM18" s="485"/>
      <c r="DN18" s="485"/>
      <c r="DO18" s="279" t="str">
        <f t="shared" si="14"/>
        <v/>
      </c>
      <c r="DP18" s="485"/>
      <c r="DQ18" s="278" t="str">
        <f t="shared" si="15"/>
        <v/>
      </c>
      <c r="DR18" s="9"/>
      <c r="DS18" s="9"/>
      <c r="DT18" s="9"/>
      <c r="DU18" s="9"/>
      <c r="DX18" s="9"/>
      <c r="DY18" s="304" t="s">
        <v>239</v>
      </c>
      <c r="DZ18" s="306" t="s">
        <v>121</v>
      </c>
      <c r="EA18" s="306"/>
      <c r="EB18" s="344">
        <f>J9*MAX(AZ56,AS56,AV56,AX56)/100</f>
        <v>0</v>
      </c>
      <c r="EC18" s="9"/>
      <c r="ED18" s="9"/>
      <c r="EE18" s="9"/>
      <c r="EF18" s="9"/>
      <c r="EJ18" s="9"/>
      <c r="EK18" s="9"/>
      <c r="EL18" s="9"/>
      <c r="EM18" s="9"/>
      <c r="EN18" s="9"/>
      <c r="EO18" s="9"/>
      <c r="EP18" s="9"/>
    </row>
    <row r="19" spans="39:146" ht="18.95" customHeight="1" thickBot="1" x14ac:dyDescent="0.3">
      <c r="AM19" s="259">
        <v>14</v>
      </c>
      <c r="AN19" s="310" t="str">
        <f t="shared" si="29"/>
        <v>-</v>
      </c>
      <c r="AO19" s="9" t="str">
        <f t="shared" si="16"/>
        <v>-</v>
      </c>
      <c r="AP19" s="289" t="str">
        <f t="shared" si="17"/>
        <v>-</v>
      </c>
      <c r="AQ19" s="9" t="str">
        <f t="shared" si="18"/>
        <v>-</v>
      </c>
      <c r="AR19" s="453"/>
      <c r="AS19" s="453"/>
      <c r="AT19" s="229" t="str">
        <f t="shared" si="19"/>
        <v>-</v>
      </c>
      <c r="AU19" s="290" t="str">
        <f t="shared" si="20"/>
        <v>N/A</v>
      </c>
      <c r="AV19" s="453"/>
      <c r="AW19" s="290" t="str">
        <f t="shared" si="7"/>
        <v>N/A</v>
      </c>
      <c r="AX19" s="453"/>
      <c r="AY19" s="290" t="str">
        <f t="shared" si="21"/>
        <v>N/A</v>
      </c>
      <c r="AZ19" s="453"/>
      <c r="BA19" s="291" t="str">
        <f t="shared" si="22"/>
        <v>N/A</v>
      </c>
      <c r="BB19" s="292" t="str">
        <f t="shared" si="23"/>
        <v>-</v>
      </c>
      <c r="BC19" s="512" t="str">
        <f t="shared" si="24"/>
        <v>-</v>
      </c>
      <c r="BD19" s="293" t="str">
        <f t="shared" si="25"/>
        <v>-</v>
      </c>
      <c r="BE19" s="293" t="str">
        <f t="shared" si="26"/>
        <v>-</v>
      </c>
      <c r="BF19" s="294" t="str">
        <f t="shared" si="27"/>
        <v>-</v>
      </c>
      <c r="BG19" s="9"/>
      <c r="BH19" s="9"/>
      <c r="BI19" s="9"/>
      <c r="BJ19" s="9"/>
      <c r="BZ19" s="9"/>
      <c r="CA19" s="476"/>
      <c r="CB19" s="515">
        <f>IFERROR(VLOOKUP(CA19,Feed!$B$4:$H$19,2,FALSE)*($BR$8/$BQ$8)+VLOOKUP(CA19,Feed!$B$4:$H$19,3,FALSE)*($BS$8/$BQ$8)+VLOOKUP(CA19,Feed!$B$4:$H$19,4,FALSE)*($BT$8/$BQ$8)+VLOOKUP(CA19,Feed!$B$4:$H$19,5,FALSE)*($BU$8/$BQ$8),0)</f>
        <v>0</v>
      </c>
      <c r="CC19" s="299" t="str">
        <f t="shared" si="30"/>
        <v>-</v>
      </c>
      <c r="CD19" s="299" t="str">
        <f t="shared" si="31"/>
        <v>-</v>
      </c>
      <c r="CE19" s="482">
        <v>0</v>
      </c>
      <c r="CF19" s="299" t="str">
        <f t="shared" si="34"/>
        <v>-</v>
      </c>
      <c r="CG19" s="300">
        <f t="shared" si="32"/>
        <v>0</v>
      </c>
      <c r="CH19" s="301" t="str">
        <f t="shared" si="33"/>
        <v>-</v>
      </c>
      <c r="CI19" s="9"/>
      <c r="CL19" s="9"/>
      <c r="CM19" s="380" t="s">
        <v>38</v>
      </c>
      <c r="CN19" s="381"/>
      <c r="CO19" s="382" t="str">
        <f>IFERROR(CO18/CN10,"-")</f>
        <v>-</v>
      </c>
      <c r="CP19" s="9"/>
      <c r="CQ19" s="9"/>
      <c r="CR19" s="9"/>
      <c r="CS19" s="9"/>
      <c r="CV19" s="9"/>
      <c r="CW19" s="384"/>
      <c r="CX19" s="385"/>
      <c r="CY19" s="386" t="s">
        <v>315</v>
      </c>
      <c r="CZ19" s="386"/>
      <c r="DA19" s="370"/>
      <c r="DB19" s="387">
        <f>SUMIF(CZ5:CZ18,DD6,DB5:DB18)</f>
        <v>0</v>
      </c>
      <c r="DC19" s="9"/>
      <c r="DD19" s="9"/>
      <c r="DE19" s="9"/>
      <c r="DF19" s="9"/>
      <c r="DI19" s="9"/>
      <c r="DJ19" s="484"/>
      <c r="DK19" s="485"/>
      <c r="DL19" s="9" t="str">
        <f t="shared" si="0"/>
        <v>-</v>
      </c>
      <c r="DM19" s="485"/>
      <c r="DN19" s="485"/>
      <c r="DO19" s="279" t="str">
        <f t="shared" si="14"/>
        <v/>
      </c>
      <c r="DP19" s="485"/>
      <c r="DQ19" s="278" t="str">
        <f t="shared" si="15"/>
        <v/>
      </c>
      <c r="DR19" s="9"/>
      <c r="DS19" s="9"/>
      <c r="DT19" s="9"/>
      <c r="DU19" s="9"/>
      <c r="DX19" s="9"/>
      <c r="DY19" s="304" t="s">
        <v>237</v>
      </c>
      <c r="DZ19" s="306"/>
      <c r="EA19" s="306"/>
      <c r="EB19" s="344" t="str">
        <f>IFERROR(J7/R15,"-")</f>
        <v>-</v>
      </c>
      <c r="EC19" s="9"/>
      <c r="ED19" s="9"/>
      <c r="EE19" s="9"/>
      <c r="EF19" s="9"/>
    </row>
    <row r="20" spans="39:146" ht="18.95" customHeight="1" x14ac:dyDescent="0.25">
      <c r="AM20" s="259">
        <v>15</v>
      </c>
      <c r="AN20" s="310" t="str">
        <f t="shared" si="29"/>
        <v>-</v>
      </c>
      <c r="AO20" s="9" t="str">
        <f t="shared" si="16"/>
        <v>-</v>
      </c>
      <c r="AP20" s="289" t="str">
        <f t="shared" si="17"/>
        <v>-</v>
      </c>
      <c r="AQ20" s="9" t="str">
        <f t="shared" si="18"/>
        <v>-</v>
      </c>
      <c r="AR20" s="453"/>
      <c r="AS20" s="453"/>
      <c r="AT20" s="229" t="str">
        <f t="shared" si="19"/>
        <v>-</v>
      </c>
      <c r="AU20" s="290" t="str">
        <f t="shared" si="20"/>
        <v>N/A</v>
      </c>
      <c r="AV20" s="453"/>
      <c r="AW20" s="290" t="str">
        <f t="shared" si="7"/>
        <v>N/A</v>
      </c>
      <c r="AX20" s="453"/>
      <c r="AY20" s="290" t="str">
        <f t="shared" si="21"/>
        <v>N/A</v>
      </c>
      <c r="AZ20" s="453"/>
      <c r="BA20" s="291" t="str">
        <f t="shared" si="22"/>
        <v>N/A</v>
      </c>
      <c r="BB20" s="292" t="str">
        <f t="shared" si="23"/>
        <v>-</v>
      </c>
      <c r="BC20" s="512" t="str">
        <f t="shared" si="24"/>
        <v>-</v>
      </c>
      <c r="BD20" s="293" t="str">
        <f t="shared" si="25"/>
        <v>-</v>
      </c>
      <c r="BE20" s="293" t="str">
        <f t="shared" si="26"/>
        <v>-</v>
      </c>
      <c r="BF20" s="294" t="str">
        <f t="shared" si="27"/>
        <v>-</v>
      </c>
      <c r="BG20" s="9"/>
      <c r="BH20" s="9"/>
      <c r="BI20" s="9"/>
      <c r="BJ20" s="9"/>
      <c r="BZ20" s="9"/>
      <c r="CA20" s="476"/>
      <c r="CB20" s="515">
        <f>IFERROR(VLOOKUP(CA20,Feed!$B$4:$H$19,2,FALSE)*($BR$8/$BQ$8)+VLOOKUP(CA20,Feed!$B$4:$H$19,3,FALSE)*($BS$8/$BQ$8)+VLOOKUP(CA20,Feed!$B$4:$H$19,4,FALSE)*($BT$8/$BQ$8)+VLOOKUP(CA20,Feed!$B$4:$H$19,5,FALSE)*($BU$8/$BQ$8),0)</f>
        <v>0</v>
      </c>
      <c r="CC20" s="299" t="str">
        <f t="shared" si="30"/>
        <v>-</v>
      </c>
      <c r="CD20" s="299" t="str">
        <f t="shared" si="31"/>
        <v>-</v>
      </c>
      <c r="CE20" s="482"/>
      <c r="CF20" s="299" t="str">
        <f t="shared" si="34"/>
        <v>-</v>
      </c>
      <c r="CG20" s="300">
        <f t="shared" si="32"/>
        <v>0</v>
      </c>
      <c r="CH20" s="301" t="str">
        <f t="shared" si="33"/>
        <v>-</v>
      </c>
      <c r="CI20" s="9"/>
      <c r="CL20" s="9"/>
      <c r="CM20" s="380" t="s">
        <v>37</v>
      </c>
      <c r="CN20" s="381"/>
      <c r="CO20" s="382">
        <f>IFERROR(CO18/(MAX(AZ56,AX56,AV56,AS56)-AR56),)</f>
        <v>0</v>
      </c>
      <c r="CP20" s="9"/>
      <c r="CQ20" s="9"/>
      <c r="CR20" s="9"/>
      <c r="CS20" s="9"/>
      <c r="CV20" s="9"/>
      <c r="CW20" s="9"/>
      <c r="CX20" s="9"/>
      <c r="CY20" s="9"/>
      <c r="CZ20" s="9"/>
      <c r="DA20" s="9"/>
      <c r="DB20" s="9"/>
      <c r="DC20" s="9"/>
      <c r="DD20" s="9"/>
      <c r="DE20" s="9"/>
      <c r="DF20" s="9"/>
      <c r="DI20" s="9"/>
      <c r="DJ20" s="484"/>
      <c r="DK20" s="485"/>
      <c r="DL20" s="9" t="str">
        <f t="shared" si="0"/>
        <v>-</v>
      </c>
      <c r="DM20" s="485"/>
      <c r="DN20" s="485"/>
      <c r="DO20" s="279" t="str">
        <f t="shared" si="14"/>
        <v/>
      </c>
      <c r="DP20" s="485"/>
      <c r="DQ20" s="278" t="str">
        <f t="shared" si="15"/>
        <v/>
      </c>
      <c r="DR20" s="9"/>
      <c r="DS20" s="9"/>
      <c r="DT20" s="9"/>
      <c r="DU20" s="9"/>
      <c r="DX20" s="9"/>
      <c r="DY20" s="304" t="s">
        <v>341</v>
      </c>
      <c r="DZ20" s="306" t="s">
        <v>343</v>
      </c>
      <c r="EA20" s="306"/>
      <c r="EB20" s="344">
        <f>J11*EB10</f>
        <v>0</v>
      </c>
      <c r="EC20" s="9"/>
      <c r="ED20" s="9"/>
      <c r="EE20" s="9"/>
      <c r="EF20" s="9"/>
    </row>
    <row r="21" spans="39:146" ht="18.95" customHeight="1" x14ac:dyDescent="0.25">
      <c r="AM21" s="259">
        <v>16</v>
      </c>
      <c r="AN21" s="310" t="str">
        <f t="shared" si="29"/>
        <v>-</v>
      </c>
      <c r="AO21" s="9" t="str">
        <f t="shared" si="16"/>
        <v>-</v>
      </c>
      <c r="AP21" s="289" t="str">
        <f t="shared" si="17"/>
        <v>-</v>
      </c>
      <c r="AQ21" s="9" t="str">
        <f t="shared" si="18"/>
        <v>-</v>
      </c>
      <c r="AR21" s="453"/>
      <c r="AS21" s="453"/>
      <c r="AT21" s="229" t="str">
        <f t="shared" si="19"/>
        <v>-</v>
      </c>
      <c r="AU21" s="290" t="str">
        <f t="shared" si="20"/>
        <v>N/A</v>
      </c>
      <c r="AV21" s="453"/>
      <c r="AW21" s="290" t="str">
        <f t="shared" si="7"/>
        <v>N/A</v>
      </c>
      <c r="AX21" s="453"/>
      <c r="AY21" s="290" t="str">
        <f t="shared" si="21"/>
        <v>N/A</v>
      </c>
      <c r="AZ21" s="453"/>
      <c r="BA21" s="291" t="str">
        <f t="shared" si="22"/>
        <v>N/A</v>
      </c>
      <c r="BB21" s="292" t="str">
        <f t="shared" si="23"/>
        <v>-</v>
      </c>
      <c r="BC21" s="512" t="str">
        <f t="shared" si="24"/>
        <v>-</v>
      </c>
      <c r="BD21" s="293" t="str">
        <f t="shared" si="25"/>
        <v>-</v>
      </c>
      <c r="BE21" s="293" t="str">
        <f t="shared" si="26"/>
        <v>-</v>
      </c>
      <c r="BF21" s="294" t="str">
        <f t="shared" si="27"/>
        <v>-</v>
      </c>
      <c r="BG21" s="9"/>
      <c r="BH21" s="9"/>
      <c r="BI21" s="9"/>
      <c r="BJ21" s="9"/>
      <c r="BZ21" s="9"/>
      <c r="CA21" s="476"/>
      <c r="CB21" s="515">
        <f>IFERROR(VLOOKUP(CA21,Feed!$B$4:$H$19,2,FALSE)*($BR$8/$BQ$8)+VLOOKUP(CA21,Feed!$B$4:$H$19,3,FALSE)*($BS$8/$BQ$8)+VLOOKUP(CA21,Feed!$B$4:$H$19,4,FALSE)*($BT$8/$BQ$8)+VLOOKUP(CA21,Feed!$B$4:$H$19,5,FALSE)*($BU$8/$BQ$8),0)</f>
        <v>0</v>
      </c>
      <c r="CC21" s="299" t="str">
        <f t="shared" si="30"/>
        <v>-</v>
      </c>
      <c r="CD21" s="299" t="str">
        <f t="shared" si="31"/>
        <v>-</v>
      </c>
      <c r="CE21" s="482"/>
      <c r="CF21" s="299" t="str">
        <f t="shared" si="34"/>
        <v>-</v>
      </c>
      <c r="CG21" s="300">
        <f t="shared" si="32"/>
        <v>0</v>
      </c>
      <c r="CH21" s="301" t="str">
        <f t="shared" si="33"/>
        <v>-</v>
      </c>
      <c r="CI21" s="9"/>
      <c r="CL21" s="9"/>
      <c r="CM21" s="380" t="s">
        <v>225</v>
      </c>
      <c r="CN21" s="381"/>
      <c r="CO21" s="388">
        <f>CO10-CG12-CG23-CG34-CG45-CG56</f>
        <v>0</v>
      </c>
      <c r="CP21" s="9"/>
      <c r="CQ21" s="9"/>
      <c r="CR21" s="9"/>
      <c r="CS21" s="9"/>
      <c r="DI21" s="9"/>
      <c r="DJ21" s="484"/>
      <c r="DK21" s="485"/>
      <c r="DL21" s="9" t="str">
        <f t="shared" si="0"/>
        <v>-</v>
      </c>
      <c r="DM21" s="485"/>
      <c r="DN21" s="485"/>
      <c r="DO21" s="279" t="str">
        <f t="shared" si="14"/>
        <v/>
      </c>
      <c r="DP21" s="485"/>
      <c r="DQ21" s="278" t="str">
        <f t="shared" si="15"/>
        <v/>
      </c>
      <c r="DR21" s="9"/>
      <c r="DS21" s="9"/>
      <c r="DT21" s="9"/>
      <c r="DU21" s="9"/>
      <c r="DX21" s="9"/>
      <c r="DY21" s="304" t="s">
        <v>192</v>
      </c>
      <c r="DZ21" s="389"/>
      <c r="EA21" s="9"/>
      <c r="EB21" s="344">
        <f>'Yardage Calculator'!F43*BQ12</f>
        <v>0</v>
      </c>
      <c r="EC21" s="9"/>
      <c r="ED21" s="9"/>
      <c r="EE21" s="9"/>
      <c r="EF21" s="9"/>
    </row>
    <row r="22" spans="39:146" ht="18.95" customHeight="1" x14ac:dyDescent="0.25">
      <c r="AM22" s="259">
        <v>17</v>
      </c>
      <c r="AN22" s="310" t="str">
        <f t="shared" si="29"/>
        <v>-</v>
      </c>
      <c r="AO22" s="9" t="str">
        <f t="shared" si="16"/>
        <v>-</v>
      </c>
      <c r="AP22" s="289" t="str">
        <f t="shared" si="17"/>
        <v>-</v>
      </c>
      <c r="AQ22" s="9" t="str">
        <f t="shared" si="18"/>
        <v>-</v>
      </c>
      <c r="AR22" s="453"/>
      <c r="AS22" s="453"/>
      <c r="AT22" s="229" t="str">
        <f t="shared" si="19"/>
        <v>-</v>
      </c>
      <c r="AU22" s="290" t="str">
        <f t="shared" si="20"/>
        <v>N/A</v>
      </c>
      <c r="AV22" s="453"/>
      <c r="AW22" s="290" t="str">
        <f t="shared" si="7"/>
        <v>N/A</v>
      </c>
      <c r="AX22" s="453"/>
      <c r="AY22" s="290" t="str">
        <f t="shared" si="21"/>
        <v>N/A</v>
      </c>
      <c r="AZ22" s="453"/>
      <c r="BA22" s="291" t="str">
        <f t="shared" si="22"/>
        <v>N/A</v>
      </c>
      <c r="BB22" s="292" t="str">
        <f t="shared" si="23"/>
        <v>-</v>
      </c>
      <c r="BC22" s="512" t="str">
        <f t="shared" si="24"/>
        <v>-</v>
      </c>
      <c r="BD22" s="293" t="str">
        <f t="shared" si="25"/>
        <v>-</v>
      </c>
      <c r="BE22" s="293" t="str">
        <f t="shared" si="26"/>
        <v>-</v>
      </c>
      <c r="BF22" s="294" t="str">
        <f t="shared" si="27"/>
        <v>-</v>
      </c>
      <c r="BG22" s="9"/>
      <c r="BH22" s="9"/>
      <c r="BI22" s="9"/>
      <c r="BJ22" s="9"/>
      <c r="BZ22" s="9"/>
      <c r="CA22" s="476"/>
      <c r="CB22" s="515">
        <f>IFERROR(VLOOKUP(CA22,Feed!$B$4:$H$19,2,FALSE)*($BR$8/$BQ$8)+VLOOKUP(CA22,Feed!$B$4:$H$19,3,FALSE)*($BS$8/$BQ$8)+VLOOKUP(CA22,Feed!$B$4:$H$19,4,FALSE)*($BT$8/$BQ$8)+VLOOKUP(CA22,Feed!$B$4:$H$19,5,FALSE)*($BU$8/$BQ$8),0)</f>
        <v>0</v>
      </c>
      <c r="CC22" s="299" t="str">
        <f t="shared" si="30"/>
        <v>-</v>
      </c>
      <c r="CD22" s="299" t="str">
        <f t="shared" si="31"/>
        <v>-</v>
      </c>
      <c r="CE22" s="482"/>
      <c r="CF22" s="299" t="str">
        <f t="shared" si="34"/>
        <v>-</v>
      </c>
      <c r="CG22" s="300">
        <f t="shared" si="32"/>
        <v>0</v>
      </c>
      <c r="CH22" s="301" t="str">
        <f t="shared" si="33"/>
        <v>-</v>
      </c>
      <c r="CI22" s="9"/>
      <c r="CL22" s="9"/>
      <c r="CM22" s="254" t="s">
        <v>222</v>
      </c>
      <c r="CN22" s="255"/>
      <c r="CO22" s="276">
        <f>(CO10-CO21)*CB61</f>
        <v>0</v>
      </c>
      <c r="CP22" s="9"/>
      <c r="CQ22" s="9"/>
      <c r="CR22" s="9"/>
      <c r="CS22" s="9"/>
      <c r="DI22" s="9"/>
      <c r="DJ22" s="484"/>
      <c r="DK22" s="485"/>
      <c r="DL22" s="9" t="str">
        <f t="shared" si="0"/>
        <v>-</v>
      </c>
      <c r="DM22" s="485"/>
      <c r="DN22" s="485"/>
      <c r="DO22" s="279" t="str">
        <f t="shared" si="14"/>
        <v/>
      </c>
      <c r="DP22" s="485"/>
      <c r="DQ22" s="278" t="str">
        <f t="shared" si="15"/>
        <v/>
      </c>
      <c r="DR22" s="9"/>
      <c r="DS22" s="9"/>
      <c r="DT22" s="9"/>
      <c r="DU22" s="9"/>
      <c r="DX22" s="9"/>
      <c r="DY22" s="304" t="s">
        <v>241</v>
      </c>
      <c r="DZ22" s="306" t="s">
        <v>243</v>
      </c>
      <c r="EA22" s="306"/>
      <c r="EB22" s="344">
        <f>J10</f>
        <v>0</v>
      </c>
      <c r="EC22" s="9"/>
      <c r="ED22" s="9"/>
      <c r="EE22" s="9"/>
      <c r="EF22" s="9"/>
    </row>
    <row r="23" spans="39:146" ht="18.95" customHeight="1" x14ac:dyDescent="0.25">
      <c r="AM23" s="259">
        <v>18</v>
      </c>
      <c r="AN23" s="310" t="str">
        <f t="shared" si="29"/>
        <v>-</v>
      </c>
      <c r="AO23" s="9" t="str">
        <f t="shared" si="16"/>
        <v>-</v>
      </c>
      <c r="AP23" s="289" t="str">
        <f t="shared" si="17"/>
        <v>-</v>
      </c>
      <c r="AQ23" s="9" t="str">
        <f t="shared" si="18"/>
        <v>-</v>
      </c>
      <c r="AR23" s="453"/>
      <c r="AS23" s="453"/>
      <c r="AT23" s="229" t="str">
        <f t="shared" si="19"/>
        <v>-</v>
      </c>
      <c r="AU23" s="290" t="str">
        <f t="shared" si="20"/>
        <v>N/A</v>
      </c>
      <c r="AV23" s="453"/>
      <c r="AW23" s="290" t="str">
        <f t="shared" si="7"/>
        <v>N/A</v>
      </c>
      <c r="AX23" s="453"/>
      <c r="AY23" s="290" t="str">
        <f t="shared" si="21"/>
        <v>N/A</v>
      </c>
      <c r="AZ23" s="453"/>
      <c r="BA23" s="291" t="str">
        <f t="shared" si="22"/>
        <v>N/A</v>
      </c>
      <c r="BB23" s="292" t="str">
        <f t="shared" si="23"/>
        <v>-</v>
      </c>
      <c r="BC23" s="512" t="str">
        <f t="shared" si="24"/>
        <v>-</v>
      </c>
      <c r="BD23" s="293" t="str">
        <f t="shared" si="25"/>
        <v>-</v>
      </c>
      <c r="BE23" s="293" t="str">
        <f t="shared" si="26"/>
        <v>-</v>
      </c>
      <c r="BF23" s="294" t="str">
        <f t="shared" si="27"/>
        <v>-</v>
      </c>
      <c r="BG23" s="9"/>
      <c r="BH23" s="9"/>
      <c r="BI23" s="9"/>
      <c r="BJ23" s="9"/>
      <c r="BZ23" s="9"/>
      <c r="CA23" s="338" t="s">
        <v>330</v>
      </c>
      <c r="CB23" s="516">
        <f>'AUM Evaluator'!$S$9*$CB$61</f>
        <v>78.359787947924048</v>
      </c>
      <c r="CC23" s="299">
        <v>1</v>
      </c>
      <c r="CD23" s="340">
        <v>0</v>
      </c>
      <c r="CE23" s="483"/>
      <c r="CF23" s="341" t="str">
        <f t="shared" si="34"/>
        <v>-</v>
      </c>
      <c r="CG23" s="342">
        <f t="shared" si="32"/>
        <v>0</v>
      </c>
      <c r="CH23" s="343">
        <f t="shared" si="33"/>
        <v>78.359787947924048</v>
      </c>
      <c r="CI23" s="9"/>
      <c r="CJ23" s="390"/>
      <c r="CK23" s="390"/>
      <c r="CL23" s="391"/>
      <c r="CM23" s="392" t="s">
        <v>230</v>
      </c>
      <c r="CN23" s="393"/>
      <c r="CO23" s="394">
        <f>IFERROR(CO22/R15*'AUM Evaluator'!S9,)</f>
        <v>0</v>
      </c>
      <c r="CP23" s="391"/>
      <c r="CQ23" s="391"/>
      <c r="CR23" s="391"/>
      <c r="CS23" s="391"/>
      <c r="CT23" s="390"/>
      <c r="CU23" s="390"/>
      <c r="DG23" s="390"/>
      <c r="DH23" s="390"/>
      <c r="DI23" s="9"/>
      <c r="DJ23" s="484"/>
      <c r="DK23" s="485"/>
      <c r="DL23" s="9" t="str">
        <f t="shared" si="0"/>
        <v>-</v>
      </c>
      <c r="DM23" s="485"/>
      <c r="DN23" s="485"/>
      <c r="DO23" s="279" t="str">
        <f t="shared" si="14"/>
        <v/>
      </c>
      <c r="DP23" s="485"/>
      <c r="DQ23" s="278" t="str">
        <f t="shared" si="15"/>
        <v/>
      </c>
      <c r="DR23" s="9"/>
      <c r="DS23" s="9"/>
      <c r="DT23" s="9"/>
      <c r="DU23" s="9"/>
      <c r="DV23" s="390"/>
      <c r="DW23" s="390"/>
      <c r="DX23" s="9"/>
      <c r="DY23" s="395" t="s">
        <v>240</v>
      </c>
      <c r="DZ23" s="306"/>
      <c r="EA23" s="306"/>
      <c r="EB23" s="344">
        <f>IFERROR(SUM(EB12,EB13,EB14:EB22)*J8*(BQ12/365),)</f>
        <v>0</v>
      </c>
      <c r="EC23" s="9"/>
      <c r="ED23" s="9"/>
      <c r="EE23" s="9"/>
      <c r="EF23" s="9"/>
    </row>
    <row r="24" spans="39:146" ht="18.95" customHeight="1" x14ac:dyDescent="0.25">
      <c r="AM24" s="259">
        <v>19</v>
      </c>
      <c r="AN24" s="310" t="str">
        <f t="shared" si="29"/>
        <v>-</v>
      </c>
      <c r="AO24" s="9" t="str">
        <f t="shared" si="16"/>
        <v>-</v>
      </c>
      <c r="AP24" s="289" t="str">
        <f t="shared" si="17"/>
        <v>-</v>
      </c>
      <c r="AQ24" s="9" t="str">
        <f t="shared" si="18"/>
        <v>-</v>
      </c>
      <c r="AR24" s="453"/>
      <c r="AS24" s="453"/>
      <c r="AT24" s="229" t="str">
        <f t="shared" si="19"/>
        <v>-</v>
      </c>
      <c r="AU24" s="290" t="str">
        <f t="shared" si="20"/>
        <v>N/A</v>
      </c>
      <c r="AV24" s="453"/>
      <c r="AW24" s="290" t="str">
        <f t="shared" si="7"/>
        <v>N/A</v>
      </c>
      <c r="AX24" s="453"/>
      <c r="AY24" s="290" t="str">
        <f t="shared" si="21"/>
        <v>N/A</v>
      </c>
      <c r="AZ24" s="453"/>
      <c r="BA24" s="291" t="str">
        <f t="shared" si="22"/>
        <v>N/A</v>
      </c>
      <c r="BB24" s="292" t="str">
        <f t="shared" si="23"/>
        <v>-</v>
      </c>
      <c r="BC24" s="512" t="str">
        <f t="shared" si="24"/>
        <v>-</v>
      </c>
      <c r="BD24" s="293" t="str">
        <f t="shared" si="25"/>
        <v>-</v>
      </c>
      <c r="BE24" s="293" t="str">
        <f t="shared" si="26"/>
        <v>-</v>
      </c>
      <c r="BF24" s="294" t="str">
        <f t="shared" si="27"/>
        <v>-</v>
      </c>
      <c r="BG24" s="9"/>
      <c r="BH24" s="9"/>
      <c r="BI24" s="9"/>
      <c r="BJ24" s="9"/>
      <c r="BZ24" s="9"/>
      <c r="CA24" s="348"/>
      <c r="CB24" s="349"/>
      <c r="CC24" s="350" t="s">
        <v>58</v>
      </c>
      <c r="CD24" s="351"/>
      <c r="CE24" s="352">
        <f>SUM(CE17:CE23)</f>
        <v>0</v>
      </c>
      <c r="CF24" s="353">
        <f>SUM(CF17:CF23)</f>
        <v>0</v>
      </c>
      <c r="CG24" s="352">
        <f t="shared" si="32"/>
        <v>0</v>
      </c>
      <c r="CH24" s="354"/>
      <c r="CI24" s="9"/>
      <c r="CL24" s="9"/>
      <c r="CM24" s="9"/>
      <c r="CN24" s="9"/>
      <c r="CO24" s="9"/>
      <c r="CP24" s="9"/>
      <c r="CQ24" s="9"/>
      <c r="CR24" s="9"/>
      <c r="CS24" s="9"/>
      <c r="DI24" s="9"/>
      <c r="DJ24" s="484"/>
      <c r="DK24" s="485"/>
      <c r="DL24" s="9" t="str">
        <f t="shared" si="0"/>
        <v>-</v>
      </c>
      <c r="DM24" s="485"/>
      <c r="DN24" s="485"/>
      <c r="DO24" s="279" t="str">
        <f t="shared" si="14"/>
        <v/>
      </c>
      <c r="DP24" s="485"/>
      <c r="DQ24" s="278" t="str">
        <f t="shared" si="15"/>
        <v/>
      </c>
      <c r="DR24" s="9"/>
      <c r="DS24" s="9"/>
      <c r="DT24" s="9"/>
      <c r="DU24" s="9"/>
      <c r="DX24" s="9"/>
      <c r="DY24" s="396"/>
      <c r="DZ24" s="626" t="s">
        <v>128</v>
      </c>
      <c r="EA24" s="626"/>
      <c r="EB24" s="397">
        <f>SUM(EB12:EB23)</f>
        <v>0</v>
      </c>
      <c r="EC24" s="9"/>
      <c r="ED24" s="9"/>
      <c r="EE24" s="9"/>
      <c r="EF24" s="9"/>
    </row>
    <row r="25" spans="39:146" ht="18.95" customHeight="1" thickBot="1" x14ac:dyDescent="0.3">
      <c r="AM25" s="259">
        <v>20</v>
      </c>
      <c r="AN25" s="310" t="str">
        <f t="shared" si="29"/>
        <v>-</v>
      </c>
      <c r="AO25" s="9" t="str">
        <f t="shared" si="16"/>
        <v>-</v>
      </c>
      <c r="AP25" s="289" t="str">
        <f t="shared" si="17"/>
        <v>-</v>
      </c>
      <c r="AQ25" s="9" t="str">
        <f t="shared" si="18"/>
        <v>-</v>
      </c>
      <c r="AR25" s="453"/>
      <c r="AS25" s="453"/>
      <c r="AT25" s="229" t="str">
        <f t="shared" si="19"/>
        <v>-</v>
      </c>
      <c r="AU25" s="290" t="str">
        <f t="shared" si="20"/>
        <v>N/A</v>
      </c>
      <c r="AV25" s="453"/>
      <c r="AW25" s="293" t="str">
        <f t="shared" si="7"/>
        <v>N/A</v>
      </c>
      <c r="AX25" s="453"/>
      <c r="AY25" s="290" t="str">
        <f t="shared" si="21"/>
        <v>N/A</v>
      </c>
      <c r="AZ25" s="453"/>
      <c r="BA25" s="291" t="str">
        <f t="shared" si="22"/>
        <v>N/A</v>
      </c>
      <c r="BB25" s="292" t="str">
        <f t="shared" si="23"/>
        <v>-</v>
      </c>
      <c r="BC25" s="512" t="str">
        <f t="shared" si="24"/>
        <v>-</v>
      </c>
      <c r="BD25" s="293" t="str">
        <f t="shared" si="25"/>
        <v>-</v>
      </c>
      <c r="BE25" s="293" t="str">
        <f t="shared" si="26"/>
        <v>-</v>
      </c>
      <c r="BF25" s="294" t="str">
        <f t="shared" si="27"/>
        <v>-</v>
      </c>
      <c r="BG25" s="9"/>
      <c r="BH25" s="9"/>
      <c r="BI25" s="9"/>
      <c r="BJ25" s="9"/>
      <c r="BZ25" s="9"/>
      <c r="CA25" s="363"/>
      <c r="CB25" s="364"/>
      <c r="CC25" s="365"/>
      <c r="CD25" s="366" t="s">
        <v>208</v>
      </c>
      <c r="CE25" s="366"/>
      <c r="CF25" s="367"/>
      <c r="CG25" s="367"/>
      <c r="CH25" s="368">
        <f>SUMPRODUCT(CF17:CF23,CH17:CH23,CC17:CC23)</f>
        <v>0</v>
      </c>
      <c r="CI25" s="9"/>
      <c r="CL25" s="9"/>
      <c r="CM25" s="9"/>
      <c r="CN25" s="9"/>
      <c r="CO25" s="9"/>
      <c r="CP25" s="9"/>
      <c r="CQ25" s="9"/>
      <c r="CR25" s="9"/>
      <c r="CS25" s="9"/>
      <c r="DI25" s="9"/>
      <c r="DJ25" s="484"/>
      <c r="DK25" s="485"/>
      <c r="DL25" s="9" t="str">
        <f t="shared" si="0"/>
        <v>-</v>
      </c>
      <c r="DM25" s="485"/>
      <c r="DN25" s="485"/>
      <c r="DO25" s="279" t="str">
        <f t="shared" si="14"/>
        <v/>
      </c>
      <c r="DP25" s="485"/>
      <c r="DQ25" s="278" t="str">
        <f t="shared" si="15"/>
        <v/>
      </c>
      <c r="DR25" s="9"/>
      <c r="DS25" s="9"/>
      <c r="DT25" s="9"/>
      <c r="DU25" s="9"/>
      <c r="DX25" s="9"/>
      <c r="DY25" s="384"/>
      <c r="DZ25" s="627" t="s">
        <v>372</v>
      </c>
      <c r="EA25" s="627" t="s">
        <v>137</v>
      </c>
      <c r="EB25" s="398">
        <f>EB10-EB24</f>
        <v>0</v>
      </c>
      <c r="EC25" s="9"/>
      <c r="ED25" s="9"/>
      <c r="EE25" s="9"/>
      <c r="EF25" s="9"/>
    </row>
    <row r="26" spans="39:146" ht="18.95" customHeight="1" thickBot="1" x14ac:dyDescent="0.3">
      <c r="AM26" s="259">
        <v>21</v>
      </c>
      <c r="AN26" s="310" t="str">
        <f t="shared" si="29"/>
        <v>-</v>
      </c>
      <c r="AO26" s="9" t="str">
        <f t="shared" si="16"/>
        <v>-</v>
      </c>
      <c r="AP26" s="289" t="str">
        <f t="shared" si="17"/>
        <v>-</v>
      </c>
      <c r="AQ26" s="9" t="str">
        <f t="shared" si="18"/>
        <v>-</v>
      </c>
      <c r="AR26" s="453"/>
      <c r="AS26" s="453"/>
      <c r="AT26" s="229" t="str">
        <f t="shared" si="19"/>
        <v>-</v>
      </c>
      <c r="AU26" s="290" t="str">
        <f t="shared" si="20"/>
        <v>N/A</v>
      </c>
      <c r="AV26" s="453"/>
      <c r="AW26" s="290" t="str">
        <f t="shared" si="7"/>
        <v>N/A</v>
      </c>
      <c r="AX26" s="453"/>
      <c r="AY26" s="290" t="str">
        <f t="shared" si="21"/>
        <v>N/A</v>
      </c>
      <c r="AZ26" s="453"/>
      <c r="BA26" s="291" t="str">
        <f t="shared" si="22"/>
        <v>N/A</v>
      </c>
      <c r="BB26" s="292" t="str">
        <f t="shared" si="23"/>
        <v>-</v>
      </c>
      <c r="BC26" s="512" t="str">
        <f t="shared" si="24"/>
        <v>-</v>
      </c>
      <c r="BD26" s="293" t="str">
        <f t="shared" si="25"/>
        <v>-</v>
      </c>
      <c r="BE26" s="293" t="str">
        <f t="shared" si="26"/>
        <v>-</v>
      </c>
      <c r="BF26" s="294" t="str">
        <f t="shared" si="27"/>
        <v>-</v>
      </c>
      <c r="BG26" s="9"/>
      <c r="BH26" s="9"/>
      <c r="BI26" s="9"/>
      <c r="BJ26" s="9"/>
      <c r="BZ26" s="9"/>
      <c r="CA26" s="9"/>
      <c r="CB26" s="9"/>
      <c r="CC26" s="9"/>
      <c r="CD26" s="9"/>
      <c r="CE26" s="9"/>
      <c r="CF26" s="9"/>
      <c r="CG26" s="9"/>
      <c r="CH26" s="9"/>
      <c r="CI26" s="9"/>
      <c r="CM26" s="390"/>
      <c r="CN26" s="390"/>
      <c r="CO26" s="390"/>
      <c r="DI26" s="9"/>
      <c r="DJ26" s="484"/>
      <c r="DK26" s="485"/>
      <c r="DL26" s="9" t="str">
        <f t="shared" si="0"/>
        <v>-</v>
      </c>
      <c r="DM26" s="485"/>
      <c r="DN26" s="485"/>
      <c r="DO26" s="279" t="str">
        <f t="shared" si="14"/>
        <v/>
      </c>
      <c r="DP26" s="485"/>
      <c r="DQ26" s="278" t="str">
        <f t="shared" si="15"/>
        <v/>
      </c>
      <c r="DR26" s="9"/>
      <c r="DS26" s="9"/>
      <c r="DT26" s="9"/>
      <c r="DU26" s="9"/>
      <c r="DX26" s="9"/>
      <c r="DY26" s="166"/>
      <c r="DZ26" s="166"/>
      <c r="EA26" s="166"/>
      <c r="EB26" s="166"/>
      <c r="EC26" s="9"/>
      <c r="ED26" s="9"/>
      <c r="EE26" s="9"/>
      <c r="EF26" s="9"/>
    </row>
    <row r="27" spans="39:146" ht="31.5" x14ac:dyDescent="0.25">
      <c r="AM27" s="259">
        <v>22</v>
      </c>
      <c r="AN27" s="310" t="str">
        <f t="shared" si="29"/>
        <v>-</v>
      </c>
      <c r="AO27" s="9" t="str">
        <f t="shared" si="16"/>
        <v>-</v>
      </c>
      <c r="AP27" s="289" t="str">
        <f t="shared" si="17"/>
        <v>-</v>
      </c>
      <c r="AQ27" s="9" t="str">
        <f t="shared" si="18"/>
        <v>-</v>
      </c>
      <c r="AR27" s="453"/>
      <c r="AS27" s="453"/>
      <c r="AT27" s="229" t="str">
        <f t="shared" si="19"/>
        <v>-</v>
      </c>
      <c r="AU27" s="290" t="str">
        <f t="shared" si="20"/>
        <v>N/A</v>
      </c>
      <c r="AV27" s="453"/>
      <c r="AW27" s="290" t="str">
        <f t="shared" si="7"/>
        <v>N/A</v>
      </c>
      <c r="AX27" s="453"/>
      <c r="AY27" s="290" t="str">
        <f t="shared" si="21"/>
        <v>N/A</v>
      </c>
      <c r="AZ27" s="453"/>
      <c r="BA27" s="291" t="str">
        <f t="shared" si="22"/>
        <v>N/A</v>
      </c>
      <c r="BB27" s="292" t="str">
        <f t="shared" si="23"/>
        <v>-</v>
      </c>
      <c r="BC27" s="512" t="str">
        <f t="shared" si="24"/>
        <v>-</v>
      </c>
      <c r="BD27" s="293" t="str">
        <f t="shared" si="25"/>
        <v>-</v>
      </c>
      <c r="BE27" s="293" t="str">
        <f t="shared" si="26"/>
        <v>-</v>
      </c>
      <c r="BF27" s="294" t="str">
        <f t="shared" si="27"/>
        <v>-</v>
      </c>
      <c r="BG27" s="9"/>
      <c r="BH27" s="9"/>
      <c r="BI27" s="9"/>
      <c r="BJ27" s="9"/>
      <c r="BZ27" s="9"/>
      <c r="CA27" s="273" t="str">
        <f>IF(BN9=BN17,"-",BN9)</f>
        <v>-</v>
      </c>
      <c r="CB27" s="54" t="s">
        <v>328</v>
      </c>
      <c r="CC27" s="54" t="s">
        <v>205</v>
      </c>
      <c r="CD27" s="54" t="s">
        <v>95</v>
      </c>
      <c r="CE27" s="54" t="s">
        <v>326</v>
      </c>
      <c r="CF27" s="54" t="s">
        <v>206</v>
      </c>
      <c r="CG27" s="54" t="s">
        <v>234</v>
      </c>
      <c r="CH27" s="274" t="s">
        <v>209</v>
      </c>
      <c r="CI27" s="9"/>
      <c r="DI27" s="9"/>
      <c r="DJ27" s="484"/>
      <c r="DK27" s="485"/>
      <c r="DL27" s="9" t="str">
        <f t="shared" si="0"/>
        <v>-</v>
      </c>
      <c r="DM27" s="485"/>
      <c r="DN27" s="485"/>
      <c r="DO27" s="279" t="str">
        <f t="shared" si="14"/>
        <v/>
      </c>
      <c r="DP27" s="485"/>
      <c r="DQ27" s="278" t="str">
        <f t="shared" si="15"/>
        <v/>
      </c>
      <c r="DR27" s="9"/>
      <c r="DS27" s="9"/>
      <c r="DT27" s="9"/>
      <c r="DU27" s="9"/>
      <c r="DY27" s="183"/>
      <c r="DZ27" s="183"/>
      <c r="EA27" s="183"/>
      <c r="EB27" s="183"/>
    </row>
    <row r="28" spans="39:146" ht="18.95" customHeight="1" x14ac:dyDescent="0.25">
      <c r="AM28" s="259">
        <v>23</v>
      </c>
      <c r="AN28" s="310" t="str">
        <f t="shared" si="29"/>
        <v>-</v>
      </c>
      <c r="AO28" s="9" t="str">
        <f t="shared" si="16"/>
        <v>-</v>
      </c>
      <c r="AP28" s="289" t="str">
        <f t="shared" si="17"/>
        <v>-</v>
      </c>
      <c r="AQ28" s="9" t="str">
        <f t="shared" si="18"/>
        <v>-</v>
      </c>
      <c r="AR28" s="453"/>
      <c r="AS28" s="453"/>
      <c r="AT28" s="229" t="str">
        <f t="shared" si="19"/>
        <v>-</v>
      </c>
      <c r="AU28" s="290" t="str">
        <f t="shared" si="20"/>
        <v>N/A</v>
      </c>
      <c r="AV28" s="453"/>
      <c r="AW28" s="290" t="str">
        <f t="shared" si="7"/>
        <v>N/A</v>
      </c>
      <c r="AX28" s="453"/>
      <c r="AY28" s="290" t="str">
        <f t="shared" si="21"/>
        <v>N/A</v>
      </c>
      <c r="AZ28" s="453"/>
      <c r="BA28" s="291" t="str">
        <f t="shared" si="22"/>
        <v>N/A</v>
      </c>
      <c r="BB28" s="292" t="str">
        <f t="shared" si="23"/>
        <v>-</v>
      </c>
      <c r="BC28" s="512" t="str">
        <f t="shared" si="24"/>
        <v>-</v>
      </c>
      <c r="BD28" s="293" t="str">
        <f t="shared" si="25"/>
        <v>-</v>
      </c>
      <c r="BE28" s="293" t="str">
        <f t="shared" si="26"/>
        <v>-</v>
      </c>
      <c r="BF28" s="294" t="str">
        <f t="shared" si="27"/>
        <v>-</v>
      </c>
      <c r="BG28" s="9"/>
      <c r="BH28" s="9"/>
      <c r="BI28" s="9"/>
      <c r="BJ28" s="9"/>
      <c r="BZ28" s="9"/>
      <c r="CA28" s="476"/>
      <c r="CB28" s="515">
        <f>IFERROR(VLOOKUP(CA28,Feed!$B$4:$H$19,2,FALSE)*($BR$9/$BQ$9)+VLOOKUP(CA28,Feed!$B$4:$H$19,3,FALSE)*($BS$9/$BQ$9)+VLOOKUP(CA28,Feed!$B$4:$H$19,4,FALSE)*($BT$9/$BQ$9)+VLOOKUP(CA28,Feed!$B$4:$H$19,5,FALSE)*($BU$9/$BQ$9),0)</f>
        <v>0</v>
      </c>
      <c r="CC28" s="299" t="str">
        <f t="shared" ref="CC28:CC33" si="35">IFERROR(VLOOKUP($CA28,FeedIngLst,6,FALSE),"-")</f>
        <v>-</v>
      </c>
      <c r="CD28" s="299" t="str">
        <f t="shared" ref="CD28:CD33" si="36">IFERROR(VLOOKUP($CA28,FeedIngLst,7,FALSE),"-")</f>
        <v>-</v>
      </c>
      <c r="CE28" s="482"/>
      <c r="CF28" s="299" t="str">
        <f>IFERROR(CE28/$CE$35,"-")</f>
        <v>-</v>
      </c>
      <c r="CG28" s="300">
        <f t="shared" ref="CG28:CG35" si="37">CE28*$R$15*$BQ$9/2000</f>
        <v>0</v>
      </c>
      <c r="CH28" s="301" t="str">
        <f t="shared" ref="CH28:CH34" si="38">IFERROR($CB28/$CC28/(1-$CD28),"-")</f>
        <v>-</v>
      </c>
      <c r="CI28" s="9"/>
      <c r="DI28" s="9"/>
      <c r="DJ28" s="484"/>
      <c r="DK28" s="485"/>
      <c r="DL28" s="9" t="str">
        <f t="shared" si="0"/>
        <v>-</v>
      </c>
      <c r="DM28" s="485"/>
      <c r="DN28" s="485"/>
      <c r="DO28" s="279" t="str">
        <f t="shared" si="14"/>
        <v/>
      </c>
      <c r="DP28" s="485"/>
      <c r="DQ28" s="278" t="str">
        <f t="shared" si="15"/>
        <v/>
      </c>
      <c r="DR28" s="9"/>
      <c r="DS28" s="9"/>
      <c r="DT28" s="9"/>
      <c r="DU28" s="9"/>
      <c r="DY28" s="183"/>
      <c r="DZ28" s="183"/>
      <c r="EA28" s="183"/>
      <c r="EB28" s="183"/>
    </row>
    <row r="29" spans="39:146" ht="18.95" customHeight="1" x14ac:dyDescent="0.25">
      <c r="AM29" s="259">
        <v>24</v>
      </c>
      <c r="AN29" s="310" t="str">
        <f t="shared" si="29"/>
        <v>-</v>
      </c>
      <c r="AO29" s="9" t="str">
        <f t="shared" si="16"/>
        <v>-</v>
      </c>
      <c r="AP29" s="289" t="str">
        <f t="shared" si="17"/>
        <v>-</v>
      </c>
      <c r="AQ29" s="9" t="str">
        <f t="shared" si="18"/>
        <v>-</v>
      </c>
      <c r="AR29" s="453"/>
      <c r="AS29" s="453"/>
      <c r="AT29" s="229" t="str">
        <f t="shared" si="19"/>
        <v>-</v>
      </c>
      <c r="AU29" s="290" t="str">
        <f t="shared" si="20"/>
        <v>N/A</v>
      </c>
      <c r="AV29" s="453"/>
      <c r="AW29" s="290" t="str">
        <f t="shared" si="7"/>
        <v>N/A</v>
      </c>
      <c r="AX29" s="453"/>
      <c r="AY29" s="290" t="str">
        <f t="shared" si="21"/>
        <v>N/A</v>
      </c>
      <c r="AZ29" s="453"/>
      <c r="BA29" s="291" t="str">
        <f t="shared" si="22"/>
        <v>N/A</v>
      </c>
      <c r="BB29" s="292" t="str">
        <f t="shared" si="23"/>
        <v>-</v>
      </c>
      <c r="BC29" s="512" t="str">
        <f t="shared" si="24"/>
        <v>-</v>
      </c>
      <c r="BD29" s="293" t="str">
        <f t="shared" si="25"/>
        <v>-</v>
      </c>
      <c r="BE29" s="293" t="str">
        <f t="shared" si="26"/>
        <v>-</v>
      </c>
      <c r="BF29" s="294" t="str">
        <f t="shared" si="27"/>
        <v>-</v>
      </c>
      <c r="BG29" s="9"/>
      <c r="BH29" s="9"/>
      <c r="BI29" s="9"/>
      <c r="BJ29" s="9"/>
      <c r="BZ29" s="9"/>
      <c r="CA29" s="476"/>
      <c r="CB29" s="515">
        <f>IFERROR(VLOOKUP(CA29,Feed!$B$4:$H$19,2,FALSE)*($BR$9/$BQ$9)+VLOOKUP(CA29,Feed!$B$4:$H$19,3,FALSE)*($BS$9/$BQ$9)+VLOOKUP(CA29,Feed!$B$4:$H$19,4,FALSE)*($BT$9/$BQ$9)+VLOOKUP(CA29,Feed!$B$4:$H$19,5,FALSE)*($BU$9/$BQ$9),0)</f>
        <v>0</v>
      </c>
      <c r="CC29" s="299" t="str">
        <f t="shared" si="35"/>
        <v>-</v>
      </c>
      <c r="CD29" s="299" t="str">
        <f t="shared" si="36"/>
        <v>-</v>
      </c>
      <c r="CE29" s="482"/>
      <c r="CF29" s="299" t="str">
        <f t="shared" ref="CF29:CF34" si="39">IFERROR(CE29/$CE$35,"-")</f>
        <v>-</v>
      </c>
      <c r="CG29" s="300">
        <f t="shared" si="37"/>
        <v>0</v>
      </c>
      <c r="CH29" s="301" t="str">
        <f t="shared" si="38"/>
        <v>-</v>
      </c>
      <c r="CI29" s="9"/>
      <c r="DI29" s="9"/>
      <c r="DJ29" s="486"/>
      <c r="DK29" s="473"/>
      <c r="DL29" s="399" t="str">
        <f t="shared" si="0"/>
        <v>-</v>
      </c>
      <c r="DM29" s="473"/>
      <c r="DN29" s="473"/>
      <c r="DO29" s="400" t="str">
        <f t="shared" si="14"/>
        <v/>
      </c>
      <c r="DP29" s="473"/>
      <c r="DQ29" s="383" t="str">
        <f t="shared" si="15"/>
        <v/>
      </c>
      <c r="DR29" s="9"/>
      <c r="DS29" s="9"/>
      <c r="DT29" s="9"/>
      <c r="DU29" s="9"/>
      <c r="DY29" s="183"/>
      <c r="DZ29" s="183"/>
      <c r="EA29" s="183"/>
      <c r="EB29" s="183"/>
    </row>
    <row r="30" spans="39:146" ht="18.95" customHeight="1" thickBot="1" x14ac:dyDescent="0.3">
      <c r="AM30" s="259">
        <v>25</v>
      </c>
      <c r="AN30" s="310" t="str">
        <f t="shared" si="29"/>
        <v>-</v>
      </c>
      <c r="AO30" s="9" t="str">
        <f t="shared" si="16"/>
        <v>-</v>
      </c>
      <c r="AP30" s="289" t="str">
        <f t="shared" si="17"/>
        <v>-</v>
      </c>
      <c r="AQ30" s="9" t="str">
        <f t="shared" si="18"/>
        <v>-</v>
      </c>
      <c r="AR30" s="453"/>
      <c r="AS30" s="453"/>
      <c r="AT30" s="229" t="str">
        <f t="shared" si="19"/>
        <v>-</v>
      </c>
      <c r="AU30" s="290" t="str">
        <f t="shared" si="20"/>
        <v>N/A</v>
      </c>
      <c r="AV30" s="453"/>
      <c r="AW30" s="290" t="str">
        <f t="shared" si="7"/>
        <v>N/A</v>
      </c>
      <c r="AX30" s="453"/>
      <c r="AY30" s="290" t="str">
        <f t="shared" si="21"/>
        <v>N/A</v>
      </c>
      <c r="AZ30" s="453"/>
      <c r="BA30" s="291" t="str">
        <f t="shared" si="22"/>
        <v>N/A</v>
      </c>
      <c r="BB30" s="292" t="str">
        <f t="shared" si="23"/>
        <v>-</v>
      </c>
      <c r="BC30" s="512" t="str">
        <f t="shared" si="24"/>
        <v>-</v>
      </c>
      <c r="BD30" s="293" t="str">
        <f t="shared" si="25"/>
        <v>-</v>
      </c>
      <c r="BE30" s="293" t="str">
        <f t="shared" si="26"/>
        <v>-</v>
      </c>
      <c r="BF30" s="294" t="str">
        <f t="shared" si="27"/>
        <v>-</v>
      </c>
      <c r="BG30" s="9"/>
      <c r="BH30" s="9"/>
      <c r="BI30" s="9"/>
      <c r="BJ30" s="9"/>
      <c r="BZ30" s="9"/>
      <c r="CA30" s="476"/>
      <c r="CB30" s="515">
        <f>IFERROR(VLOOKUP(CA30,Feed!$B$4:$H$19,2,FALSE)*($BR$9/$BQ$9)+VLOOKUP(CA30,Feed!$B$4:$H$19,3,FALSE)*($BS$9/$BQ$9)+VLOOKUP(CA30,Feed!$B$4:$H$19,4,FALSE)*($BT$9/$BQ$9)+VLOOKUP(CA30,Feed!$B$4:$H$19,5,FALSE)*($BU$9/$BQ$9),0)</f>
        <v>0</v>
      </c>
      <c r="CC30" s="299" t="str">
        <f t="shared" si="35"/>
        <v>-</v>
      </c>
      <c r="CD30" s="299" t="str">
        <f t="shared" si="36"/>
        <v>-</v>
      </c>
      <c r="CE30" s="482"/>
      <c r="CF30" s="299" t="str">
        <f t="shared" si="39"/>
        <v>-</v>
      </c>
      <c r="CG30" s="300">
        <f t="shared" si="37"/>
        <v>0</v>
      </c>
      <c r="CH30" s="301" t="str">
        <f t="shared" si="38"/>
        <v>-</v>
      </c>
      <c r="CI30" s="9"/>
      <c r="DI30" s="9"/>
      <c r="DJ30" s="384"/>
      <c r="DK30" s="385"/>
      <c r="DL30" s="385"/>
      <c r="DM30" s="385"/>
      <c r="DN30" s="385"/>
      <c r="DO30" s="386" t="s">
        <v>236</v>
      </c>
      <c r="DP30" s="370"/>
      <c r="DQ30" s="387">
        <f>SUM(DQ5:DQ29)</f>
        <v>0</v>
      </c>
      <c r="DR30" s="9"/>
      <c r="DS30" s="9"/>
      <c r="DT30" s="9"/>
      <c r="DU30" s="9"/>
      <c r="DY30" s="183"/>
      <c r="DZ30" s="183"/>
      <c r="EA30" s="183"/>
      <c r="EB30" s="183"/>
    </row>
    <row r="31" spans="39:146" ht="18.95" customHeight="1" x14ac:dyDescent="0.25">
      <c r="AM31" s="259">
        <v>26</v>
      </c>
      <c r="AN31" s="310" t="str">
        <f t="shared" si="29"/>
        <v>-</v>
      </c>
      <c r="AO31" s="9" t="str">
        <f t="shared" si="16"/>
        <v>-</v>
      </c>
      <c r="AP31" s="289" t="str">
        <f t="shared" si="17"/>
        <v>-</v>
      </c>
      <c r="AQ31" s="9" t="str">
        <f t="shared" si="18"/>
        <v>-</v>
      </c>
      <c r="AR31" s="453"/>
      <c r="AS31" s="453"/>
      <c r="AT31" s="229" t="str">
        <f t="shared" si="19"/>
        <v>-</v>
      </c>
      <c r="AU31" s="290" t="str">
        <f t="shared" si="20"/>
        <v>N/A</v>
      </c>
      <c r="AV31" s="453"/>
      <c r="AW31" s="290" t="str">
        <f t="shared" si="7"/>
        <v>N/A</v>
      </c>
      <c r="AX31" s="453"/>
      <c r="AY31" s="290" t="str">
        <f t="shared" si="21"/>
        <v>N/A</v>
      </c>
      <c r="AZ31" s="453"/>
      <c r="BA31" s="291" t="str">
        <f t="shared" si="22"/>
        <v>N/A</v>
      </c>
      <c r="BB31" s="292" t="str">
        <f t="shared" si="23"/>
        <v>-</v>
      </c>
      <c r="BC31" s="512" t="str">
        <f t="shared" si="24"/>
        <v>-</v>
      </c>
      <c r="BD31" s="293" t="str">
        <f t="shared" si="25"/>
        <v>-</v>
      </c>
      <c r="BE31" s="293" t="str">
        <f t="shared" si="26"/>
        <v>-</v>
      </c>
      <c r="BF31" s="294" t="str">
        <f t="shared" si="27"/>
        <v>-</v>
      </c>
      <c r="BG31" s="9"/>
      <c r="BH31" s="9"/>
      <c r="BI31" s="9"/>
      <c r="BJ31" s="9"/>
      <c r="BZ31" s="9"/>
      <c r="CA31" s="476"/>
      <c r="CB31" s="515">
        <f>IFERROR(VLOOKUP(CA31,Feed!$B$4:$H$19,2,FALSE)*($BR$9/$BQ$9)+VLOOKUP(CA31,Feed!$B$4:$H$19,3,FALSE)*($BS$9/$BQ$9)+VLOOKUP(CA31,Feed!$B$4:$H$19,4,FALSE)*($BT$9/$BQ$9)+VLOOKUP(CA31,Feed!$B$4:$H$19,5,FALSE)*($BU$9/$BQ$9),0)</f>
        <v>0</v>
      </c>
      <c r="CC31" s="299" t="str">
        <f t="shared" si="35"/>
        <v>-</v>
      </c>
      <c r="CD31" s="299" t="str">
        <f t="shared" si="36"/>
        <v>-</v>
      </c>
      <c r="CE31" s="482"/>
      <c r="CF31" s="299" t="str">
        <f t="shared" si="39"/>
        <v>-</v>
      </c>
      <c r="CG31" s="300">
        <f t="shared" si="37"/>
        <v>0</v>
      </c>
      <c r="CH31" s="301" t="str">
        <f t="shared" si="38"/>
        <v>-</v>
      </c>
      <c r="CI31" s="9"/>
      <c r="DI31" s="9"/>
      <c r="DJ31" s="9"/>
      <c r="DK31" s="9"/>
      <c r="DL31" s="9"/>
      <c r="DM31" s="9"/>
      <c r="DN31" s="9"/>
      <c r="DO31" s="9"/>
      <c r="DP31" s="9"/>
      <c r="DQ31" s="9"/>
      <c r="DR31" s="9"/>
      <c r="DS31" s="9"/>
      <c r="DT31" s="9"/>
      <c r="DU31" s="9"/>
    </row>
    <row r="32" spans="39:146" ht="18.95" customHeight="1" x14ac:dyDescent="0.25">
      <c r="AM32" s="259">
        <v>27</v>
      </c>
      <c r="AN32" s="310" t="str">
        <f t="shared" si="29"/>
        <v>-</v>
      </c>
      <c r="AO32" s="9" t="str">
        <f t="shared" si="16"/>
        <v>-</v>
      </c>
      <c r="AP32" s="289" t="str">
        <f t="shared" si="17"/>
        <v>-</v>
      </c>
      <c r="AQ32" s="9" t="str">
        <f t="shared" si="18"/>
        <v>-</v>
      </c>
      <c r="AR32" s="453"/>
      <c r="AS32" s="453"/>
      <c r="AT32" s="229" t="str">
        <f t="shared" si="19"/>
        <v>-</v>
      </c>
      <c r="AU32" s="290" t="str">
        <f t="shared" si="20"/>
        <v>N/A</v>
      </c>
      <c r="AV32" s="453"/>
      <c r="AW32" s="290" t="str">
        <f t="shared" si="7"/>
        <v>N/A</v>
      </c>
      <c r="AX32" s="453"/>
      <c r="AY32" s="290" t="str">
        <f t="shared" si="21"/>
        <v>N/A</v>
      </c>
      <c r="AZ32" s="453"/>
      <c r="BA32" s="291" t="str">
        <f t="shared" si="22"/>
        <v>N/A</v>
      </c>
      <c r="BB32" s="292" t="str">
        <f t="shared" si="23"/>
        <v>-</v>
      </c>
      <c r="BC32" s="512" t="str">
        <f t="shared" si="24"/>
        <v>-</v>
      </c>
      <c r="BD32" s="293" t="str">
        <f t="shared" si="25"/>
        <v>-</v>
      </c>
      <c r="BE32" s="293" t="str">
        <f t="shared" si="26"/>
        <v>-</v>
      </c>
      <c r="BF32" s="294" t="str">
        <f t="shared" si="27"/>
        <v>-</v>
      </c>
      <c r="BG32" s="9"/>
      <c r="BH32" s="9"/>
      <c r="BI32" s="9"/>
      <c r="BJ32" s="9"/>
      <c r="BZ32" s="9"/>
      <c r="CA32" s="476"/>
      <c r="CB32" s="515">
        <f>IFERROR(VLOOKUP(CA32,Feed!$B$4:$H$19,2,FALSE)*($BR$9/$BQ$9)+VLOOKUP(CA32,Feed!$B$4:$H$19,3,FALSE)*($BS$9/$BQ$9)+VLOOKUP(CA32,Feed!$B$4:$H$19,4,FALSE)*($BT$9/$BQ$9)+VLOOKUP(CA32,Feed!$B$4:$H$19,5,FALSE)*($BU$9/$BQ$9),0)</f>
        <v>0</v>
      </c>
      <c r="CC32" s="299" t="str">
        <f t="shared" si="35"/>
        <v>-</v>
      </c>
      <c r="CD32" s="299" t="str">
        <f t="shared" si="36"/>
        <v>-</v>
      </c>
      <c r="CE32" s="482"/>
      <c r="CF32" s="299" t="str">
        <f t="shared" si="39"/>
        <v>-</v>
      </c>
      <c r="CG32" s="300">
        <f t="shared" si="37"/>
        <v>0</v>
      </c>
      <c r="CH32" s="301" t="str">
        <f t="shared" si="38"/>
        <v>-</v>
      </c>
      <c r="CI32" s="9"/>
    </row>
    <row r="33" spans="39:87" ht="18.95" customHeight="1" x14ac:dyDescent="0.25">
      <c r="AM33" s="259">
        <v>28</v>
      </c>
      <c r="AN33" s="310" t="str">
        <f t="shared" si="29"/>
        <v>-</v>
      </c>
      <c r="AO33" s="9" t="str">
        <f t="shared" si="16"/>
        <v>-</v>
      </c>
      <c r="AP33" s="289" t="str">
        <f t="shared" si="17"/>
        <v>-</v>
      </c>
      <c r="AQ33" s="9" t="str">
        <f t="shared" si="18"/>
        <v>-</v>
      </c>
      <c r="AR33" s="453"/>
      <c r="AS33" s="453"/>
      <c r="AT33" s="229" t="str">
        <f t="shared" si="19"/>
        <v>-</v>
      </c>
      <c r="AU33" s="290" t="str">
        <f t="shared" si="20"/>
        <v>N/A</v>
      </c>
      <c r="AV33" s="453"/>
      <c r="AW33" s="290" t="str">
        <f t="shared" si="7"/>
        <v>N/A</v>
      </c>
      <c r="AX33" s="453"/>
      <c r="AY33" s="290" t="str">
        <f t="shared" si="21"/>
        <v>N/A</v>
      </c>
      <c r="AZ33" s="453"/>
      <c r="BA33" s="291" t="str">
        <f t="shared" si="22"/>
        <v>N/A</v>
      </c>
      <c r="BB33" s="292" t="str">
        <f t="shared" si="23"/>
        <v>-</v>
      </c>
      <c r="BC33" s="512" t="str">
        <f t="shared" si="24"/>
        <v>-</v>
      </c>
      <c r="BD33" s="293" t="str">
        <f t="shared" si="25"/>
        <v>-</v>
      </c>
      <c r="BE33" s="293" t="str">
        <f t="shared" si="26"/>
        <v>-</v>
      </c>
      <c r="BF33" s="294" t="str">
        <f t="shared" si="27"/>
        <v>-</v>
      </c>
      <c r="BG33" s="9"/>
      <c r="BH33" s="9"/>
      <c r="BI33" s="9"/>
      <c r="BJ33" s="9"/>
      <c r="BZ33" s="9"/>
      <c r="CA33" s="476"/>
      <c r="CB33" s="515">
        <f>IFERROR(VLOOKUP(CA33,Feed!$B$4:$H$19,2,FALSE)*($BR$9/$BQ$9)+VLOOKUP(CA33,Feed!$B$4:$H$19,3,FALSE)*($BS$9/$BQ$9)+VLOOKUP(CA33,Feed!$B$4:$H$19,4,FALSE)*($BT$9/$BQ$9)+VLOOKUP(CA33,Feed!$B$4:$H$19,5,FALSE)*($BU$9/$BQ$9),0)</f>
        <v>0</v>
      </c>
      <c r="CC33" s="299" t="str">
        <f t="shared" si="35"/>
        <v>-</v>
      </c>
      <c r="CD33" s="299" t="str">
        <f t="shared" si="36"/>
        <v>-</v>
      </c>
      <c r="CE33" s="482"/>
      <c r="CF33" s="299" t="str">
        <f t="shared" si="39"/>
        <v>-</v>
      </c>
      <c r="CG33" s="300">
        <f t="shared" si="37"/>
        <v>0</v>
      </c>
      <c r="CH33" s="301" t="str">
        <f t="shared" si="38"/>
        <v>-</v>
      </c>
      <c r="CI33" s="9"/>
    </row>
    <row r="34" spans="39:87" ht="18.95" customHeight="1" x14ac:dyDescent="0.25">
      <c r="AM34" s="259">
        <v>29</v>
      </c>
      <c r="AN34" s="310" t="str">
        <f t="shared" si="29"/>
        <v>-</v>
      </c>
      <c r="AO34" s="9" t="str">
        <f t="shared" si="16"/>
        <v>-</v>
      </c>
      <c r="AP34" s="289" t="str">
        <f t="shared" si="17"/>
        <v>-</v>
      </c>
      <c r="AQ34" s="9" t="str">
        <f t="shared" si="18"/>
        <v>-</v>
      </c>
      <c r="AR34" s="453"/>
      <c r="AS34" s="453"/>
      <c r="AT34" s="229" t="str">
        <f t="shared" si="19"/>
        <v>-</v>
      </c>
      <c r="AU34" s="290" t="str">
        <f t="shared" si="20"/>
        <v>N/A</v>
      </c>
      <c r="AV34" s="453"/>
      <c r="AW34" s="290" t="str">
        <f t="shared" si="7"/>
        <v>N/A</v>
      </c>
      <c r="AX34" s="453"/>
      <c r="AY34" s="290" t="str">
        <f t="shared" si="21"/>
        <v>N/A</v>
      </c>
      <c r="AZ34" s="453"/>
      <c r="BA34" s="291" t="str">
        <f t="shared" si="22"/>
        <v>N/A</v>
      </c>
      <c r="BB34" s="292" t="str">
        <f t="shared" si="23"/>
        <v>-</v>
      </c>
      <c r="BC34" s="512" t="str">
        <f t="shared" si="24"/>
        <v>-</v>
      </c>
      <c r="BD34" s="293" t="str">
        <f t="shared" si="25"/>
        <v>-</v>
      </c>
      <c r="BE34" s="293" t="str">
        <f t="shared" si="26"/>
        <v>-</v>
      </c>
      <c r="BF34" s="294" t="str">
        <f t="shared" si="27"/>
        <v>-</v>
      </c>
      <c r="BG34" s="9"/>
      <c r="BH34" s="9"/>
      <c r="BI34" s="9"/>
      <c r="BJ34" s="9"/>
      <c r="BZ34" s="9"/>
      <c r="CA34" s="338" t="s">
        <v>330</v>
      </c>
      <c r="CB34" s="516">
        <f>'AUM Evaluator'!$S$9*$CB$61</f>
        <v>78.359787947924048</v>
      </c>
      <c r="CC34" s="299">
        <v>1</v>
      </c>
      <c r="CD34" s="340">
        <v>0</v>
      </c>
      <c r="CE34" s="483"/>
      <c r="CF34" s="341" t="str">
        <f t="shared" si="39"/>
        <v>-</v>
      </c>
      <c r="CG34" s="342">
        <f t="shared" si="37"/>
        <v>0</v>
      </c>
      <c r="CH34" s="343">
        <f t="shared" si="38"/>
        <v>78.359787947924048</v>
      </c>
      <c r="CI34" s="9"/>
    </row>
    <row r="35" spans="39:87" ht="18.95" customHeight="1" x14ac:dyDescent="0.25">
      <c r="AM35" s="259">
        <v>30</v>
      </c>
      <c r="AN35" s="310" t="str">
        <f t="shared" si="29"/>
        <v>-</v>
      </c>
      <c r="AO35" s="9" t="str">
        <f t="shared" si="16"/>
        <v>-</v>
      </c>
      <c r="AP35" s="289" t="str">
        <f t="shared" si="17"/>
        <v>-</v>
      </c>
      <c r="AQ35" s="9" t="str">
        <f t="shared" si="18"/>
        <v>-</v>
      </c>
      <c r="AR35" s="453"/>
      <c r="AS35" s="453"/>
      <c r="AT35" s="229" t="str">
        <f t="shared" si="19"/>
        <v>-</v>
      </c>
      <c r="AU35" s="290" t="str">
        <f t="shared" si="20"/>
        <v>N/A</v>
      </c>
      <c r="AV35" s="453"/>
      <c r="AW35" s="290" t="str">
        <f t="shared" si="7"/>
        <v>N/A</v>
      </c>
      <c r="AX35" s="453"/>
      <c r="AY35" s="290" t="str">
        <f t="shared" si="21"/>
        <v>N/A</v>
      </c>
      <c r="AZ35" s="453"/>
      <c r="BA35" s="291" t="str">
        <f t="shared" si="22"/>
        <v>N/A</v>
      </c>
      <c r="BB35" s="292" t="str">
        <f t="shared" si="23"/>
        <v>-</v>
      </c>
      <c r="BC35" s="512" t="str">
        <f t="shared" si="24"/>
        <v>-</v>
      </c>
      <c r="BD35" s="293" t="str">
        <f t="shared" si="25"/>
        <v>-</v>
      </c>
      <c r="BE35" s="293" t="str">
        <f t="shared" si="26"/>
        <v>-</v>
      </c>
      <c r="BF35" s="294" t="str">
        <f t="shared" si="27"/>
        <v>-</v>
      </c>
      <c r="BG35" s="9"/>
      <c r="BH35" s="9"/>
      <c r="BI35" s="9"/>
      <c r="BJ35" s="9"/>
      <c r="BZ35" s="9"/>
      <c r="CA35" s="348"/>
      <c r="CB35" s="349"/>
      <c r="CC35" s="350" t="s">
        <v>58</v>
      </c>
      <c r="CD35" s="351"/>
      <c r="CE35" s="352">
        <f>SUM(CE28:CE34)</f>
        <v>0</v>
      </c>
      <c r="CF35" s="353">
        <f>SUM(CF28:CF34)</f>
        <v>0</v>
      </c>
      <c r="CG35" s="352">
        <f t="shared" si="37"/>
        <v>0</v>
      </c>
      <c r="CH35" s="354"/>
      <c r="CI35" s="9"/>
    </row>
    <row r="36" spans="39:87" ht="18.95" customHeight="1" thickBot="1" x14ac:dyDescent="0.3">
      <c r="AM36" s="259">
        <v>31</v>
      </c>
      <c r="AN36" s="310" t="str">
        <f t="shared" si="29"/>
        <v>-</v>
      </c>
      <c r="AO36" s="9" t="str">
        <f t="shared" si="16"/>
        <v>-</v>
      </c>
      <c r="AP36" s="289" t="str">
        <f t="shared" si="17"/>
        <v>-</v>
      </c>
      <c r="AQ36" s="9" t="str">
        <f t="shared" si="18"/>
        <v>-</v>
      </c>
      <c r="AR36" s="453"/>
      <c r="AS36" s="453"/>
      <c r="AT36" s="229" t="str">
        <f t="shared" si="19"/>
        <v>-</v>
      </c>
      <c r="AU36" s="290" t="str">
        <f t="shared" si="20"/>
        <v>N/A</v>
      </c>
      <c r="AV36" s="453"/>
      <c r="AW36" s="290" t="str">
        <f t="shared" si="7"/>
        <v>N/A</v>
      </c>
      <c r="AX36" s="453"/>
      <c r="AY36" s="290" t="str">
        <f t="shared" si="21"/>
        <v>N/A</v>
      </c>
      <c r="AZ36" s="453"/>
      <c r="BA36" s="291" t="str">
        <f t="shared" si="22"/>
        <v>N/A</v>
      </c>
      <c r="BB36" s="292" t="str">
        <f t="shared" si="23"/>
        <v>-</v>
      </c>
      <c r="BC36" s="512" t="str">
        <f t="shared" si="24"/>
        <v>-</v>
      </c>
      <c r="BD36" s="293" t="str">
        <f t="shared" si="25"/>
        <v>-</v>
      </c>
      <c r="BE36" s="293" t="str">
        <f t="shared" si="26"/>
        <v>-</v>
      </c>
      <c r="BF36" s="294" t="str">
        <f t="shared" si="27"/>
        <v>-</v>
      </c>
      <c r="BG36" s="9"/>
      <c r="BH36" s="9"/>
      <c r="BI36" s="9"/>
      <c r="BJ36" s="9"/>
      <c r="BZ36" s="9"/>
      <c r="CA36" s="363"/>
      <c r="CB36" s="364"/>
      <c r="CC36" s="365"/>
      <c r="CD36" s="366" t="s">
        <v>208</v>
      </c>
      <c r="CE36" s="366"/>
      <c r="CF36" s="367"/>
      <c r="CG36" s="367"/>
      <c r="CH36" s="368">
        <f>SUMPRODUCT(CF28:CF34,CH28:CH34,CC28:CC34)</f>
        <v>0</v>
      </c>
      <c r="CI36" s="9"/>
    </row>
    <row r="37" spans="39:87" ht="18.95" customHeight="1" thickBot="1" x14ac:dyDescent="0.3">
      <c r="AM37" s="259">
        <v>32</v>
      </c>
      <c r="AN37" s="310" t="str">
        <f t="shared" si="29"/>
        <v>-</v>
      </c>
      <c r="AO37" s="9" t="str">
        <f t="shared" si="16"/>
        <v>-</v>
      </c>
      <c r="AP37" s="289" t="str">
        <f t="shared" si="17"/>
        <v>-</v>
      </c>
      <c r="AQ37" s="9" t="str">
        <f t="shared" si="18"/>
        <v>-</v>
      </c>
      <c r="AR37" s="453"/>
      <c r="AS37" s="453"/>
      <c r="AT37" s="229" t="str">
        <f t="shared" si="19"/>
        <v>-</v>
      </c>
      <c r="AU37" s="290" t="str">
        <f t="shared" si="20"/>
        <v>N/A</v>
      </c>
      <c r="AV37" s="453"/>
      <c r="AW37" s="290" t="str">
        <f t="shared" si="7"/>
        <v>N/A</v>
      </c>
      <c r="AX37" s="453"/>
      <c r="AY37" s="290" t="str">
        <f t="shared" si="21"/>
        <v>N/A</v>
      </c>
      <c r="AZ37" s="453"/>
      <c r="BA37" s="291" t="str">
        <f t="shared" si="22"/>
        <v>N/A</v>
      </c>
      <c r="BB37" s="292" t="str">
        <f t="shared" si="23"/>
        <v>-</v>
      </c>
      <c r="BC37" s="512" t="str">
        <f t="shared" si="24"/>
        <v>-</v>
      </c>
      <c r="BD37" s="293" t="str">
        <f t="shared" si="25"/>
        <v>-</v>
      </c>
      <c r="BE37" s="293" t="str">
        <f t="shared" si="26"/>
        <v>-</v>
      </c>
      <c r="BF37" s="294" t="str">
        <f t="shared" si="27"/>
        <v>-</v>
      </c>
      <c r="BG37" s="9"/>
      <c r="BH37" s="9"/>
      <c r="BI37" s="9"/>
      <c r="BJ37" s="9"/>
      <c r="BZ37" s="9"/>
      <c r="CA37" s="9"/>
      <c r="CB37" s="9"/>
      <c r="CC37" s="9"/>
      <c r="CD37" s="9"/>
      <c r="CE37" s="9"/>
      <c r="CF37" s="9"/>
      <c r="CG37" s="9"/>
      <c r="CH37" s="9"/>
      <c r="CI37" s="9"/>
    </row>
    <row r="38" spans="39:87" ht="31.5" x14ac:dyDescent="0.25">
      <c r="AM38" s="259">
        <v>33</v>
      </c>
      <c r="AN38" s="310" t="str">
        <f t="shared" si="29"/>
        <v>-</v>
      </c>
      <c r="AO38" s="9" t="str">
        <f t="shared" si="16"/>
        <v>-</v>
      </c>
      <c r="AP38" s="289" t="str">
        <f t="shared" si="17"/>
        <v>-</v>
      </c>
      <c r="AQ38" s="9" t="str">
        <f t="shared" si="18"/>
        <v>-</v>
      </c>
      <c r="AR38" s="453"/>
      <c r="AS38" s="453"/>
      <c r="AT38" s="229" t="str">
        <f t="shared" si="19"/>
        <v>-</v>
      </c>
      <c r="AU38" s="290" t="str">
        <f t="shared" si="20"/>
        <v>N/A</v>
      </c>
      <c r="AV38" s="453"/>
      <c r="AW38" s="290" t="str">
        <f t="shared" si="7"/>
        <v>N/A</v>
      </c>
      <c r="AX38" s="453"/>
      <c r="AY38" s="290" t="str">
        <f t="shared" si="21"/>
        <v>N/A</v>
      </c>
      <c r="AZ38" s="453"/>
      <c r="BA38" s="291" t="str">
        <f t="shared" si="22"/>
        <v>N/A</v>
      </c>
      <c r="BB38" s="292" t="str">
        <f t="shared" si="23"/>
        <v>-</v>
      </c>
      <c r="BC38" s="512" t="str">
        <f t="shared" si="24"/>
        <v>-</v>
      </c>
      <c r="BD38" s="293" t="str">
        <f t="shared" si="25"/>
        <v>-</v>
      </c>
      <c r="BE38" s="293" t="str">
        <f t="shared" si="26"/>
        <v>-</v>
      </c>
      <c r="BF38" s="294" t="str">
        <f t="shared" si="27"/>
        <v>-</v>
      </c>
      <c r="BG38" s="9"/>
      <c r="BH38" s="9"/>
      <c r="BI38" s="9"/>
      <c r="BJ38" s="9"/>
      <c r="BZ38" s="9"/>
      <c r="CA38" s="273" t="str">
        <f>IF(BN10=BN17,"-",BN10)</f>
        <v>-</v>
      </c>
      <c r="CB38" s="54" t="s">
        <v>328</v>
      </c>
      <c r="CC38" s="54" t="s">
        <v>205</v>
      </c>
      <c r="CD38" s="54" t="s">
        <v>95</v>
      </c>
      <c r="CE38" s="54" t="s">
        <v>326</v>
      </c>
      <c r="CF38" s="54" t="s">
        <v>206</v>
      </c>
      <c r="CG38" s="54" t="s">
        <v>234</v>
      </c>
      <c r="CH38" s="274" t="s">
        <v>209</v>
      </c>
      <c r="CI38" s="9"/>
    </row>
    <row r="39" spans="39:87" ht="18.95" customHeight="1" x14ac:dyDescent="0.25">
      <c r="AM39" s="259">
        <v>34</v>
      </c>
      <c r="AN39" s="310" t="str">
        <f t="shared" si="29"/>
        <v>-</v>
      </c>
      <c r="AO39" s="9" t="str">
        <f t="shared" si="16"/>
        <v>-</v>
      </c>
      <c r="AP39" s="289" t="str">
        <f t="shared" si="17"/>
        <v>-</v>
      </c>
      <c r="AQ39" s="9" t="str">
        <f t="shared" si="18"/>
        <v>-</v>
      </c>
      <c r="AR39" s="453"/>
      <c r="AS39" s="453"/>
      <c r="AT39" s="229" t="str">
        <f t="shared" si="19"/>
        <v>-</v>
      </c>
      <c r="AU39" s="290" t="str">
        <f t="shared" si="20"/>
        <v>N/A</v>
      </c>
      <c r="AV39" s="453"/>
      <c r="AW39" s="290" t="str">
        <f t="shared" si="7"/>
        <v>N/A</v>
      </c>
      <c r="AX39" s="453"/>
      <c r="AY39" s="290" t="str">
        <f t="shared" si="21"/>
        <v>N/A</v>
      </c>
      <c r="AZ39" s="453"/>
      <c r="BA39" s="291" t="str">
        <f t="shared" si="22"/>
        <v>N/A</v>
      </c>
      <c r="BB39" s="292" t="str">
        <f t="shared" si="23"/>
        <v>-</v>
      </c>
      <c r="BC39" s="512" t="str">
        <f t="shared" si="24"/>
        <v>-</v>
      </c>
      <c r="BD39" s="293" t="str">
        <f t="shared" si="25"/>
        <v>-</v>
      </c>
      <c r="BE39" s="293" t="str">
        <f t="shared" si="26"/>
        <v>-</v>
      </c>
      <c r="BF39" s="294" t="str">
        <f t="shared" si="27"/>
        <v>-</v>
      </c>
      <c r="BG39" s="9"/>
      <c r="BH39" s="9"/>
      <c r="BI39" s="9"/>
      <c r="BJ39" s="9"/>
      <c r="BZ39" s="9"/>
      <c r="CA39" s="476"/>
      <c r="CB39" s="515">
        <f>IFERROR(VLOOKUP(CA39,Feed!$B$4:$H$19,2,FALSE)*($BR$10/$BQ$10)+VLOOKUP(CA39,Feed!$B$4:$H$19,3,FALSE)*($BS$10/$BQ$10)+VLOOKUP(CA39,Feed!$B$4:$H$19,4,FALSE)*($BT$10/$BQ$10)+VLOOKUP(CA39,Feed!$B$4:$H$19,5,FALSE)*($BU$10/$BQ$10),0)</f>
        <v>0</v>
      </c>
      <c r="CC39" s="299" t="str">
        <f t="shared" ref="CC39:CC44" si="40">IFERROR(VLOOKUP($CA39,FeedIngLst,6,FALSE),"-")</f>
        <v>-</v>
      </c>
      <c r="CD39" s="299" t="str">
        <f t="shared" ref="CD39:CD44" si="41">IFERROR(VLOOKUP($CA39,FeedIngLst,7,FALSE),"-")</f>
        <v>-</v>
      </c>
      <c r="CE39" s="482"/>
      <c r="CF39" s="299" t="str">
        <f>IFERROR(CE39/$CE$46,"-")</f>
        <v>-</v>
      </c>
      <c r="CG39" s="300">
        <f t="shared" ref="CG39:CG46" si="42">CE39*$R$15*$BQ$10/2000</f>
        <v>0</v>
      </c>
      <c r="CH39" s="301" t="str">
        <f t="shared" ref="CH39:CH45" si="43">IFERROR($CB39/$CC39/(1-$CD39),"-")</f>
        <v>-</v>
      </c>
      <c r="CI39" s="9"/>
    </row>
    <row r="40" spans="39:87" ht="18.95" customHeight="1" x14ac:dyDescent="0.25">
      <c r="AM40" s="259">
        <v>35</v>
      </c>
      <c r="AN40" s="310" t="str">
        <f t="shared" si="29"/>
        <v>-</v>
      </c>
      <c r="AO40" s="9" t="str">
        <f t="shared" si="16"/>
        <v>-</v>
      </c>
      <c r="AP40" s="289" t="str">
        <f t="shared" si="17"/>
        <v>-</v>
      </c>
      <c r="AQ40" s="9" t="str">
        <f t="shared" si="18"/>
        <v>-</v>
      </c>
      <c r="AR40" s="453"/>
      <c r="AS40" s="453"/>
      <c r="AT40" s="229" t="str">
        <f t="shared" si="19"/>
        <v>-</v>
      </c>
      <c r="AU40" s="290" t="str">
        <f t="shared" si="20"/>
        <v>N/A</v>
      </c>
      <c r="AV40" s="453"/>
      <c r="AW40" s="290" t="str">
        <f t="shared" si="7"/>
        <v>N/A</v>
      </c>
      <c r="AX40" s="453"/>
      <c r="AY40" s="290" t="str">
        <f t="shared" si="21"/>
        <v>N/A</v>
      </c>
      <c r="AZ40" s="453"/>
      <c r="BA40" s="291" t="str">
        <f t="shared" si="22"/>
        <v>N/A</v>
      </c>
      <c r="BB40" s="292" t="str">
        <f t="shared" si="23"/>
        <v>-</v>
      </c>
      <c r="BC40" s="512" t="str">
        <f t="shared" si="24"/>
        <v>-</v>
      </c>
      <c r="BD40" s="293" t="str">
        <f t="shared" si="25"/>
        <v>-</v>
      </c>
      <c r="BE40" s="293" t="str">
        <f t="shared" si="26"/>
        <v>-</v>
      </c>
      <c r="BF40" s="294" t="str">
        <f t="shared" si="27"/>
        <v>-</v>
      </c>
      <c r="BG40" s="9"/>
      <c r="BH40" s="9"/>
      <c r="BI40" s="9"/>
      <c r="BJ40" s="9"/>
      <c r="BZ40" s="9"/>
      <c r="CA40" s="476"/>
      <c r="CB40" s="515">
        <f>IFERROR(VLOOKUP(CA40,Feed!$B$4:$H$19,2,FALSE)*($BR$10/$BQ$10)+VLOOKUP(CA40,Feed!$B$4:$H$19,3,FALSE)*($BS$10/$BQ$10)+VLOOKUP(CA40,Feed!$B$4:$H$19,4,FALSE)*($BT$10/$BQ$10)+VLOOKUP(CA40,Feed!$B$4:$H$19,5,FALSE)*($BU$10/$BQ$10),0)</f>
        <v>0</v>
      </c>
      <c r="CC40" s="299" t="str">
        <f t="shared" si="40"/>
        <v>-</v>
      </c>
      <c r="CD40" s="299" t="str">
        <f t="shared" si="41"/>
        <v>-</v>
      </c>
      <c r="CE40" s="482"/>
      <c r="CF40" s="299" t="str">
        <f t="shared" ref="CF40:CF45" si="44">IFERROR(CE40/$CE$46,"-")</f>
        <v>-</v>
      </c>
      <c r="CG40" s="300">
        <f t="shared" si="42"/>
        <v>0</v>
      </c>
      <c r="CH40" s="301" t="str">
        <f t="shared" si="43"/>
        <v>-</v>
      </c>
      <c r="CI40" s="9"/>
    </row>
    <row r="41" spans="39:87" ht="18.95" customHeight="1" x14ac:dyDescent="0.25">
      <c r="AM41" s="259">
        <v>36</v>
      </c>
      <c r="AN41" s="310" t="str">
        <f t="shared" si="29"/>
        <v>-</v>
      </c>
      <c r="AO41" s="9" t="str">
        <f t="shared" si="16"/>
        <v>-</v>
      </c>
      <c r="AP41" s="289" t="str">
        <f t="shared" si="17"/>
        <v>-</v>
      </c>
      <c r="AQ41" s="9" t="str">
        <f t="shared" si="18"/>
        <v>-</v>
      </c>
      <c r="AR41" s="453"/>
      <c r="AS41" s="453"/>
      <c r="AT41" s="229" t="str">
        <f t="shared" si="19"/>
        <v>-</v>
      </c>
      <c r="AU41" s="290" t="str">
        <f t="shared" si="20"/>
        <v>N/A</v>
      </c>
      <c r="AV41" s="453"/>
      <c r="AW41" s="290" t="str">
        <f t="shared" si="7"/>
        <v>N/A</v>
      </c>
      <c r="AX41" s="453"/>
      <c r="AY41" s="290" t="str">
        <f t="shared" si="21"/>
        <v>N/A</v>
      </c>
      <c r="AZ41" s="453"/>
      <c r="BA41" s="291" t="str">
        <f t="shared" si="22"/>
        <v>N/A</v>
      </c>
      <c r="BB41" s="292" t="str">
        <f t="shared" si="23"/>
        <v>-</v>
      </c>
      <c r="BC41" s="512" t="str">
        <f t="shared" si="24"/>
        <v>-</v>
      </c>
      <c r="BD41" s="293" t="str">
        <f t="shared" si="25"/>
        <v>-</v>
      </c>
      <c r="BE41" s="293" t="str">
        <f t="shared" si="26"/>
        <v>-</v>
      </c>
      <c r="BF41" s="294" t="str">
        <f t="shared" si="27"/>
        <v>-</v>
      </c>
      <c r="BG41" s="9"/>
      <c r="BH41" s="9"/>
      <c r="BI41" s="9"/>
      <c r="BJ41" s="9"/>
      <c r="BZ41" s="9"/>
      <c r="CA41" s="476"/>
      <c r="CB41" s="515">
        <f>IFERROR(VLOOKUP(CA41,Feed!$B$4:$H$19,2,FALSE)*($BR$10/$BQ$10)+VLOOKUP(CA41,Feed!$B$4:$H$19,3,FALSE)*($BS$10/$BQ$10)+VLOOKUP(CA41,Feed!$B$4:$H$19,4,FALSE)*($BT$10/$BQ$10)+VLOOKUP(CA41,Feed!$B$4:$H$19,5,FALSE)*($BU$10/$BQ$10),0)</f>
        <v>0</v>
      </c>
      <c r="CC41" s="299" t="str">
        <f t="shared" si="40"/>
        <v>-</v>
      </c>
      <c r="CD41" s="299" t="str">
        <f t="shared" si="41"/>
        <v>-</v>
      </c>
      <c r="CE41" s="482"/>
      <c r="CF41" s="299" t="str">
        <f t="shared" si="44"/>
        <v>-</v>
      </c>
      <c r="CG41" s="300">
        <f t="shared" si="42"/>
        <v>0</v>
      </c>
      <c r="CH41" s="301" t="str">
        <f t="shared" si="43"/>
        <v>-</v>
      </c>
      <c r="CI41" s="9"/>
    </row>
    <row r="42" spans="39:87" ht="18.95" customHeight="1" x14ac:dyDescent="0.25">
      <c r="AM42" s="259">
        <v>37</v>
      </c>
      <c r="AN42" s="310" t="str">
        <f t="shared" si="29"/>
        <v>-</v>
      </c>
      <c r="AO42" s="9" t="str">
        <f t="shared" si="16"/>
        <v>-</v>
      </c>
      <c r="AP42" s="289" t="str">
        <f t="shared" si="17"/>
        <v>-</v>
      </c>
      <c r="AQ42" s="9" t="str">
        <f t="shared" si="18"/>
        <v>-</v>
      </c>
      <c r="AR42" s="453"/>
      <c r="AS42" s="453"/>
      <c r="AT42" s="229" t="str">
        <f t="shared" si="19"/>
        <v>-</v>
      </c>
      <c r="AU42" s="290" t="str">
        <f t="shared" si="20"/>
        <v>N/A</v>
      </c>
      <c r="AV42" s="453"/>
      <c r="AW42" s="290" t="str">
        <f t="shared" si="7"/>
        <v>N/A</v>
      </c>
      <c r="AX42" s="453"/>
      <c r="AY42" s="290" t="str">
        <f t="shared" si="21"/>
        <v>N/A</v>
      </c>
      <c r="AZ42" s="453"/>
      <c r="BA42" s="291" t="str">
        <f t="shared" si="22"/>
        <v>N/A</v>
      </c>
      <c r="BB42" s="292" t="str">
        <f t="shared" si="23"/>
        <v>-</v>
      </c>
      <c r="BC42" s="512" t="str">
        <f t="shared" si="24"/>
        <v>-</v>
      </c>
      <c r="BD42" s="293" t="str">
        <f t="shared" si="25"/>
        <v>-</v>
      </c>
      <c r="BE42" s="293" t="str">
        <f t="shared" si="26"/>
        <v>-</v>
      </c>
      <c r="BF42" s="294" t="str">
        <f t="shared" si="27"/>
        <v>-</v>
      </c>
      <c r="BG42" s="9"/>
      <c r="BH42" s="9"/>
      <c r="BI42" s="9"/>
      <c r="BJ42" s="9"/>
      <c r="BZ42" s="9"/>
      <c r="CA42" s="476"/>
      <c r="CB42" s="515">
        <f>IFERROR(VLOOKUP(CA42,Feed!$B$4:$H$19,2,FALSE)*($BR$10/$BQ$10)+VLOOKUP(CA42,Feed!$B$4:$H$19,3,FALSE)*($BS$10/$BQ$10)+VLOOKUP(CA42,Feed!$B$4:$H$19,4,FALSE)*($BT$10/$BQ$10)+VLOOKUP(CA42,Feed!$B$4:$H$19,5,FALSE)*($BU$10/$BQ$10),0)</f>
        <v>0</v>
      </c>
      <c r="CC42" s="299" t="str">
        <f t="shared" si="40"/>
        <v>-</v>
      </c>
      <c r="CD42" s="299" t="str">
        <f t="shared" si="41"/>
        <v>-</v>
      </c>
      <c r="CE42" s="482"/>
      <c r="CF42" s="299" t="str">
        <f t="shared" si="44"/>
        <v>-</v>
      </c>
      <c r="CG42" s="300">
        <f t="shared" si="42"/>
        <v>0</v>
      </c>
      <c r="CH42" s="301" t="str">
        <f t="shared" si="43"/>
        <v>-</v>
      </c>
      <c r="CI42" s="9"/>
    </row>
    <row r="43" spans="39:87" ht="18.95" customHeight="1" x14ac:dyDescent="0.25">
      <c r="AM43" s="259">
        <v>38</v>
      </c>
      <c r="AN43" s="310" t="str">
        <f t="shared" si="29"/>
        <v>-</v>
      </c>
      <c r="AO43" s="9" t="str">
        <f t="shared" si="16"/>
        <v>-</v>
      </c>
      <c r="AP43" s="289" t="str">
        <f t="shared" si="17"/>
        <v>-</v>
      </c>
      <c r="AQ43" s="9" t="str">
        <f t="shared" si="18"/>
        <v>-</v>
      </c>
      <c r="AR43" s="453"/>
      <c r="AS43" s="453"/>
      <c r="AT43" s="229" t="str">
        <f t="shared" si="19"/>
        <v>-</v>
      </c>
      <c r="AU43" s="290" t="str">
        <f t="shared" si="20"/>
        <v>N/A</v>
      </c>
      <c r="AV43" s="453"/>
      <c r="AW43" s="290" t="str">
        <f t="shared" si="7"/>
        <v>N/A</v>
      </c>
      <c r="AX43" s="453"/>
      <c r="AY43" s="290" t="str">
        <f t="shared" si="21"/>
        <v>N/A</v>
      </c>
      <c r="AZ43" s="453"/>
      <c r="BA43" s="291" t="str">
        <f t="shared" si="22"/>
        <v>N/A</v>
      </c>
      <c r="BB43" s="292" t="str">
        <f t="shared" si="23"/>
        <v>-</v>
      </c>
      <c r="BC43" s="512" t="str">
        <f t="shared" si="24"/>
        <v>-</v>
      </c>
      <c r="BD43" s="293" t="str">
        <f t="shared" si="25"/>
        <v>-</v>
      </c>
      <c r="BE43" s="293" t="str">
        <f t="shared" si="26"/>
        <v>-</v>
      </c>
      <c r="BF43" s="294" t="str">
        <f t="shared" si="27"/>
        <v>-</v>
      </c>
      <c r="BG43" s="9"/>
      <c r="BH43" s="9"/>
      <c r="BI43" s="9"/>
      <c r="BJ43" s="9"/>
      <c r="BZ43" s="9"/>
      <c r="CA43" s="476"/>
      <c r="CB43" s="515">
        <f>IFERROR(VLOOKUP(CA43,Feed!$B$4:$H$19,2,FALSE)*($BR$10/$BQ$10)+VLOOKUP(CA43,Feed!$B$4:$H$19,3,FALSE)*($BS$10/$BQ$10)+VLOOKUP(CA43,Feed!$B$4:$H$19,4,FALSE)*($BT$10/$BQ$10)+VLOOKUP(CA43,Feed!$B$4:$H$19,5,FALSE)*($BU$10/$BQ$10),0)</f>
        <v>0</v>
      </c>
      <c r="CC43" s="299" t="str">
        <f t="shared" si="40"/>
        <v>-</v>
      </c>
      <c r="CD43" s="299" t="str">
        <f t="shared" si="41"/>
        <v>-</v>
      </c>
      <c r="CE43" s="482"/>
      <c r="CF43" s="299" t="str">
        <f t="shared" si="44"/>
        <v>-</v>
      </c>
      <c r="CG43" s="300">
        <f t="shared" si="42"/>
        <v>0</v>
      </c>
      <c r="CH43" s="301" t="str">
        <f t="shared" si="43"/>
        <v>-</v>
      </c>
      <c r="CI43" s="9"/>
    </row>
    <row r="44" spans="39:87" ht="18.95" customHeight="1" x14ac:dyDescent="0.25">
      <c r="AM44" s="259">
        <v>39</v>
      </c>
      <c r="AN44" s="310" t="str">
        <f t="shared" si="29"/>
        <v>-</v>
      </c>
      <c r="AO44" s="9" t="str">
        <f t="shared" si="16"/>
        <v>-</v>
      </c>
      <c r="AP44" s="289" t="str">
        <f t="shared" si="17"/>
        <v>-</v>
      </c>
      <c r="AQ44" s="9" t="str">
        <f t="shared" si="18"/>
        <v>-</v>
      </c>
      <c r="AR44" s="453"/>
      <c r="AS44" s="453"/>
      <c r="AT44" s="229" t="str">
        <f t="shared" si="19"/>
        <v>-</v>
      </c>
      <c r="AU44" s="290" t="str">
        <f t="shared" si="20"/>
        <v>N/A</v>
      </c>
      <c r="AV44" s="453"/>
      <c r="AW44" s="290" t="str">
        <f t="shared" si="7"/>
        <v>N/A</v>
      </c>
      <c r="AX44" s="453"/>
      <c r="AY44" s="290" t="str">
        <f t="shared" si="21"/>
        <v>N/A</v>
      </c>
      <c r="AZ44" s="453"/>
      <c r="BA44" s="291" t="str">
        <f t="shared" si="22"/>
        <v>N/A</v>
      </c>
      <c r="BB44" s="292" t="str">
        <f t="shared" si="23"/>
        <v>-</v>
      </c>
      <c r="BC44" s="512" t="str">
        <f t="shared" si="24"/>
        <v>-</v>
      </c>
      <c r="BD44" s="293" t="str">
        <f t="shared" si="25"/>
        <v>-</v>
      </c>
      <c r="BE44" s="293" t="str">
        <f t="shared" si="26"/>
        <v>-</v>
      </c>
      <c r="BF44" s="294" t="str">
        <f t="shared" si="27"/>
        <v>-</v>
      </c>
      <c r="BG44" s="9"/>
      <c r="BH44" s="9"/>
      <c r="BI44" s="9"/>
      <c r="BJ44" s="9"/>
      <c r="BZ44" s="9"/>
      <c r="CA44" s="476"/>
      <c r="CB44" s="515">
        <f>IFERROR(VLOOKUP(CA44,Feed!$B$4:$H$19,2,FALSE)*($BR$10/$BQ$10)+VLOOKUP(CA44,Feed!$B$4:$H$19,3,FALSE)*($BS$10/$BQ$10)+VLOOKUP(CA44,Feed!$B$4:$H$19,4,FALSE)*($BT$10/$BQ$10)+VLOOKUP(CA44,Feed!$B$4:$H$19,5,FALSE)*($BU$10/$BQ$10),0)</f>
        <v>0</v>
      </c>
      <c r="CC44" s="299" t="str">
        <f t="shared" si="40"/>
        <v>-</v>
      </c>
      <c r="CD44" s="299" t="str">
        <f t="shared" si="41"/>
        <v>-</v>
      </c>
      <c r="CE44" s="482"/>
      <c r="CF44" s="299" t="str">
        <f t="shared" si="44"/>
        <v>-</v>
      </c>
      <c r="CG44" s="300">
        <f t="shared" si="42"/>
        <v>0</v>
      </c>
      <c r="CH44" s="301" t="str">
        <f t="shared" si="43"/>
        <v>-</v>
      </c>
      <c r="CI44" s="9"/>
    </row>
    <row r="45" spans="39:87" ht="18.95" customHeight="1" x14ac:dyDescent="0.25">
      <c r="AM45" s="259">
        <v>40</v>
      </c>
      <c r="AN45" s="310" t="str">
        <f t="shared" si="29"/>
        <v>-</v>
      </c>
      <c r="AO45" s="9" t="str">
        <f t="shared" si="16"/>
        <v>-</v>
      </c>
      <c r="AP45" s="289" t="str">
        <f t="shared" si="17"/>
        <v>-</v>
      </c>
      <c r="AQ45" s="9" t="str">
        <f t="shared" si="18"/>
        <v>-</v>
      </c>
      <c r="AR45" s="453"/>
      <c r="AS45" s="453"/>
      <c r="AT45" s="229" t="str">
        <f t="shared" si="19"/>
        <v>-</v>
      </c>
      <c r="AU45" s="290" t="str">
        <f t="shared" si="20"/>
        <v>N/A</v>
      </c>
      <c r="AV45" s="453"/>
      <c r="AW45" s="290" t="str">
        <f t="shared" si="7"/>
        <v>N/A</v>
      </c>
      <c r="AX45" s="453"/>
      <c r="AY45" s="290" t="str">
        <f t="shared" si="21"/>
        <v>N/A</v>
      </c>
      <c r="AZ45" s="453"/>
      <c r="BA45" s="291" t="str">
        <f t="shared" si="22"/>
        <v>N/A</v>
      </c>
      <c r="BB45" s="292" t="str">
        <f t="shared" si="23"/>
        <v>-</v>
      </c>
      <c r="BC45" s="512" t="str">
        <f t="shared" si="24"/>
        <v>-</v>
      </c>
      <c r="BD45" s="293" t="str">
        <f t="shared" si="25"/>
        <v>-</v>
      </c>
      <c r="BE45" s="293" t="str">
        <f t="shared" si="26"/>
        <v>-</v>
      </c>
      <c r="BF45" s="294" t="str">
        <f t="shared" si="27"/>
        <v>-</v>
      </c>
      <c r="BG45" s="9"/>
      <c r="BH45" s="9"/>
      <c r="BI45" s="9"/>
      <c r="BJ45" s="9"/>
      <c r="BZ45" s="9"/>
      <c r="CA45" s="338" t="s">
        <v>330</v>
      </c>
      <c r="CB45" s="516">
        <f>'AUM Evaluator'!$S$9*$CB$61</f>
        <v>78.359787947924048</v>
      </c>
      <c r="CC45" s="299">
        <v>1</v>
      </c>
      <c r="CD45" s="340">
        <v>0</v>
      </c>
      <c r="CE45" s="483"/>
      <c r="CF45" s="341" t="str">
        <f t="shared" si="44"/>
        <v>-</v>
      </c>
      <c r="CG45" s="342">
        <f t="shared" si="42"/>
        <v>0</v>
      </c>
      <c r="CH45" s="343">
        <f t="shared" si="43"/>
        <v>78.359787947924048</v>
      </c>
      <c r="CI45" s="9"/>
    </row>
    <row r="46" spans="39:87" ht="18.95" customHeight="1" x14ac:dyDescent="0.25">
      <c r="AM46" s="259">
        <v>41</v>
      </c>
      <c r="AN46" s="310" t="str">
        <f t="shared" si="29"/>
        <v>-</v>
      </c>
      <c r="AO46" s="9" t="str">
        <f t="shared" si="16"/>
        <v>-</v>
      </c>
      <c r="AP46" s="289" t="str">
        <f t="shared" si="17"/>
        <v>-</v>
      </c>
      <c r="AQ46" s="9" t="str">
        <f t="shared" si="18"/>
        <v>-</v>
      </c>
      <c r="AR46" s="453"/>
      <c r="AS46" s="453"/>
      <c r="AT46" s="229" t="str">
        <f t="shared" si="19"/>
        <v>-</v>
      </c>
      <c r="AU46" s="290" t="str">
        <f t="shared" si="20"/>
        <v>N/A</v>
      </c>
      <c r="AV46" s="453"/>
      <c r="AW46" s="290" t="str">
        <f t="shared" si="7"/>
        <v>N/A</v>
      </c>
      <c r="AX46" s="453"/>
      <c r="AY46" s="290" t="str">
        <f t="shared" si="21"/>
        <v>N/A</v>
      </c>
      <c r="AZ46" s="453"/>
      <c r="BA46" s="291" t="str">
        <f t="shared" si="22"/>
        <v>N/A</v>
      </c>
      <c r="BB46" s="292" t="str">
        <f t="shared" si="23"/>
        <v>-</v>
      </c>
      <c r="BC46" s="512" t="str">
        <f t="shared" si="24"/>
        <v>-</v>
      </c>
      <c r="BD46" s="293" t="str">
        <f t="shared" si="25"/>
        <v>-</v>
      </c>
      <c r="BE46" s="293" t="str">
        <f t="shared" si="26"/>
        <v>-</v>
      </c>
      <c r="BF46" s="294" t="str">
        <f t="shared" si="27"/>
        <v>-</v>
      </c>
      <c r="BG46" s="9"/>
      <c r="BH46" s="9"/>
      <c r="BI46" s="9"/>
      <c r="BJ46" s="9"/>
      <c r="BZ46" s="9"/>
      <c r="CA46" s="348"/>
      <c r="CB46" s="349"/>
      <c r="CC46" s="350" t="s">
        <v>58</v>
      </c>
      <c r="CD46" s="351"/>
      <c r="CE46" s="352">
        <f>SUM(CE39:CE45)</f>
        <v>0</v>
      </c>
      <c r="CF46" s="353">
        <f>SUM(CF39:CF45)</f>
        <v>0</v>
      </c>
      <c r="CG46" s="352">
        <f t="shared" si="42"/>
        <v>0</v>
      </c>
      <c r="CH46" s="354"/>
      <c r="CI46" s="9"/>
    </row>
    <row r="47" spans="39:87" ht="18.95" customHeight="1" thickBot="1" x14ac:dyDescent="0.3">
      <c r="AM47" s="259">
        <v>42</v>
      </c>
      <c r="AN47" s="310" t="str">
        <f t="shared" si="29"/>
        <v>-</v>
      </c>
      <c r="AO47" s="9" t="str">
        <f t="shared" si="16"/>
        <v>-</v>
      </c>
      <c r="AP47" s="289" t="str">
        <f t="shared" si="17"/>
        <v>-</v>
      </c>
      <c r="AQ47" s="9" t="str">
        <f t="shared" si="18"/>
        <v>-</v>
      </c>
      <c r="AR47" s="453"/>
      <c r="AS47" s="453"/>
      <c r="AT47" s="229" t="str">
        <f t="shared" si="19"/>
        <v>-</v>
      </c>
      <c r="AU47" s="290" t="str">
        <f t="shared" si="20"/>
        <v>N/A</v>
      </c>
      <c r="AV47" s="453"/>
      <c r="AW47" s="290" t="str">
        <f t="shared" si="7"/>
        <v>N/A</v>
      </c>
      <c r="AX47" s="453"/>
      <c r="AY47" s="290" t="str">
        <f t="shared" si="21"/>
        <v>N/A</v>
      </c>
      <c r="AZ47" s="453"/>
      <c r="BA47" s="291" t="str">
        <f t="shared" si="22"/>
        <v>N/A</v>
      </c>
      <c r="BB47" s="292" t="str">
        <f t="shared" si="23"/>
        <v>-</v>
      </c>
      <c r="BC47" s="512" t="str">
        <f t="shared" si="24"/>
        <v>-</v>
      </c>
      <c r="BD47" s="293" t="str">
        <f t="shared" si="25"/>
        <v>-</v>
      </c>
      <c r="BE47" s="293" t="str">
        <f t="shared" si="26"/>
        <v>-</v>
      </c>
      <c r="BF47" s="294" t="str">
        <f t="shared" si="27"/>
        <v>-</v>
      </c>
      <c r="BG47" s="9"/>
      <c r="BH47" s="9"/>
      <c r="BI47" s="9"/>
      <c r="BJ47" s="9"/>
      <c r="BZ47" s="9"/>
      <c r="CA47" s="363"/>
      <c r="CB47" s="364"/>
      <c r="CC47" s="365"/>
      <c r="CD47" s="366" t="s">
        <v>208</v>
      </c>
      <c r="CE47" s="366"/>
      <c r="CF47" s="367"/>
      <c r="CG47" s="367"/>
      <c r="CH47" s="368">
        <f>SUMPRODUCT(CF39:CF45,CH39:CH45,CC39:CC45)</f>
        <v>0</v>
      </c>
      <c r="CI47" s="9"/>
    </row>
    <row r="48" spans="39:87" ht="18.95" customHeight="1" thickBot="1" x14ac:dyDescent="0.3">
      <c r="AM48" s="259">
        <v>43</v>
      </c>
      <c r="AN48" s="310" t="str">
        <f t="shared" si="29"/>
        <v>-</v>
      </c>
      <c r="AO48" s="9" t="str">
        <f t="shared" si="16"/>
        <v>-</v>
      </c>
      <c r="AP48" s="289" t="str">
        <f t="shared" si="17"/>
        <v>-</v>
      </c>
      <c r="AQ48" s="9" t="str">
        <f t="shared" si="18"/>
        <v>-</v>
      </c>
      <c r="AR48" s="453"/>
      <c r="AS48" s="453"/>
      <c r="AT48" s="229" t="str">
        <f t="shared" si="19"/>
        <v>-</v>
      </c>
      <c r="AU48" s="290" t="str">
        <f t="shared" si="20"/>
        <v>N/A</v>
      </c>
      <c r="AV48" s="453"/>
      <c r="AW48" s="290" t="str">
        <f t="shared" si="7"/>
        <v>N/A</v>
      </c>
      <c r="AX48" s="453"/>
      <c r="AY48" s="290" t="str">
        <f t="shared" si="21"/>
        <v>N/A</v>
      </c>
      <c r="AZ48" s="453"/>
      <c r="BA48" s="291" t="str">
        <f t="shared" si="22"/>
        <v>N/A</v>
      </c>
      <c r="BB48" s="292" t="str">
        <f t="shared" si="23"/>
        <v>-</v>
      </c>
      <c r="BC48" s="512" t="str">
        <f t="shared" si="24"/>
        <v>-</v>
      </c>
      <c r="BD48" s="293" t="str">
        <f t="shared" si="25"/>
        <v>-</v>
      </c>
      <c r="BE48" s="293" t="str">
        <f t="shared" si="26"/>
        <v>-</v>
      </c>
      <c r="BF48" s="294" t="str">
        <f t="shared" si="27"/>
        <v>-</v>
      </c>
      <c r="BG48" s="9"/>
      <c r="BH48" s="9"/>
      <c r="BI48" s="9"/>
      <c r="BJ48" s="9"/>
      <c r="BZ48" s="9"/>
      <c r="CA48" s="9"/>
      <c r="CB48" s="9"/>
      <c r="CC48" s="9"/>
      <c r="CD48" s="9"/>
      <c r="CE48" s="9"/>
      <c r="CF48" s="9"/>
      <c r="CG48" s="9"/>
      <c r="CH48" s="9"/>
      <c r="CI48" s="9"/>
    </row>
    <row r="49" spans="39:87" ht="36" customHeight="1" x14ac:dyDescent="0.25">
      <c r="AM49" s="259">
        <v>44</v>
      </c>
      <c r="AN49" s="310" t="str">
        <f t="shared" si="29"/>
        <v>-</v>
      </c>
      <c r="AO49" s="9" t="str">
        <f t="shared" si="16"/>
        <v>-</v>
      </c>
      <c r="AP49" s="289" t="str">
        <f t="shared" si="17"/>
        <v>-</v>
      </c>
      <c r="AQ49" s="9" t="str">
        <f t="shared" si="18"/>
        <v>-</v>
      </c>
      <c r="AR49" s="453"/>
      <c r="AS49" s="453"/>
      <c r="AT49" s="229" t="str">
        <f t="shared" si="19"/>
        <v>-</v>
      </c>
      <c r="AU49" s="290" t="str">
        <f t="shared" si="20"/>
        <v>N/A</v>
      </c>
      <c r="AV49" s="453"/>
      <c r="AW49" s="290" t="str">
        <f t="shared" si="7"/>
        <v>N/A</v>
      </c>
      <c r="AX49" s="453"/>
      <c r="AY49" s="290" t="str">
        <f t="shared" si="21"/>
        <v>N/A</v>
      </c>
      <c r="AZ49" s="453"/>
      <c r="BA49" s="291" t="str">
        <f t="shared" si="22"/>
        <v>N/A</v>
      </c>
      <c r="BB49" s="292" t="str">
        <f t="shared" si="23"/>
        <v>-</v>
      </c>
      <c r="BC49" s="512" t="str">
        <f t="shared" si="24"/>
        <v>-</v>
      </c>
      <c r="BD49" s="293" t="str">
        <f t="shared" si="25"/>
        <v>-</v>
      </c>
      <c r="BE49" s="293" t="str">
        <f t="shared" si="26"/>
        <v>-</v>
      </c>
      <c r="BF49" s="294" t="str">
        <f t="shared" si="27"/>
        <v>-</v>
      </c>
      <c r="BG49" s="9"/>
      <c r="BH49" s="9"/>
      <c r="BI49" s="9"/>
      <c r="BJ49" s="9"/>
      <c r="BZ49" s="9"/>
      <c r="CA49" s="273" t="str">
        <f>IF(BN11=BN17,"-",BN11)</f>
        <v>-</v>
      </c>
      <c r="CB49" s="54" t="s">
        <v>328</v>
      </c>
      <c r="CC49" s="54" t="s">
        <v>205</v>
      </c>
      <c r="CD49" s="54" t="s">
        <v>95</v>
      </c>
      <c r="CE49" s="54" t="s">
        <v>326</v>
      </c>
      <c r="CF49" s="54" t="s">
        <v>206</v>
      </c>
      <c r="CG49" s="54" t="s">
        <v>234</v>
      </c>
      <c r="CH49" s="274" t="s">
        <v>209</v>
      </c>
      <c r="CI49" s="9"/>
    </row>
    <row r="50" spans="39:87" ht="18.95" customHeight="1" x14ac:dyDescent="0.25">
      <c r="AM50" s="259">
        <v>45</v>
      </c>
      <c r="AN50" s="310" t="str">
        <f t="shared" si="29"/>
        <v>-</v>
      </c>
      <c r="AO50" s="9" t="str">
        <f t="shared" si="16"/>
        <v>-</v>
      </c>
      <c r="AP50" s="289" t="str">
        <f t="shared" si="17"/>
        <v>-</v>
      </c>
      <c r="AQ50" s="9" t="str">
        <f t="shared" si="18"/>
        <v>-</v>
      </c>
      <c r="AR50" s="453"/>
      <c r="AS50" s="453"/>
      <c r="AT50" s="229" t="str">
        <f t="shared" si="19"/>
        <v>-</v>
      </c>
      <c r="AU50" s="290" t="str">
        <f t="shared" si="20"/>
        <v>N/A</v>
      </c>
      <c r="AV50" s="453"/>
      <c r="AW50" s="290" t="str">
        <f t="shared" si="7"/>
        <v>N/A</v>
      </c>
      <c r="AX50" s="453"/>
      <c r="AY50" s="290" t="str">
        <f t="shared" si="21"/>
        <v>N/A</v>
      </c>
      <c r="AZ50" s="453"/>
      <c r="BA50" s="291" t="str">
        <f t="shared" si="22"/>
        <v>N/A</v>
      </c>
      <c r="BB50" s="292" t="str">
        <f t="shared" si="23"/>
        <v>-</v>
      </c>
      <c r="BC50" s="512" t="str">
        <f t="shared" si="24"/>
        <v>-</v>
      </c>
      <c r="BD50" s="293" t="str">
        <f t="shared" si="25"/>
        <v>-</v>
      </c>
      <c r="BE50" s="293" t="str">
        <f t="shared" si="26"/>
        <v>-</v>
      </c>
      <c r="BF50" s="294" t="str">
        <f t="shared" si="27"/>
        <v>-</v>
      </c>
      <c r="BG50" s="9"/>
      <c r="BH50" s="9"/>
      <c r="BI50" s="9"/>
      <c r="BJ50" s="9"/>
      <c r="BZ50" s="9"/>
      <c r="CA50" s="476"/>
      <c r="CB50" s="515">
        <f>IFERROR(VLOOKUP(CA50,Feed!$B$4:$H$19,2,FALSE)*($BR$11/$BQ$11)+VLOOKUP(CA50,Feed!$B$4:$H$19,3,FALSE)*($BS$11/$BQ$11)+VLOOKUP(CA50,Feed!$B$4:$H$19,4,FALSE)*($BT$11/$BQ$11)+VLOOKUP(CA50,Feed!$B$4:$H$19,5,FALSE)*($BU$11/$BQ$11),0)</f>
        <v>0</v>
      </c>
      <c r="CC50" s="299" t="str">
        <f t="shared" ref="CC50:CC55" si="45">IFERROR(VLOOKUP($CA50,FeedIngLst,6,FALSE),"-")</f>
        <v>-</v>
      </c>
      <c r="CD50" s="299" t="str">
        <f t="shared" ref="CD50:CD55" si="46">IFERROR(VLOOKUP($CA50,FeedIngLst,7,FALSE),"-")</f>
        <v>-</v>
      </c>
      <c r="CE50" s="482"/>
      <c r="CF50" s="299" t="str">
        <f>IFERROR(CE50/$CE$57,"-")</f>
        <v>-</v>
      </c>
      <c r="CG50" s="300">
        <f t="shared" ref="CG50:CG57" si="47">CE50*$R$15*$BQ$11/2000</f>
        <v>0</v>
      </c>
      <c r="CH50" s="301" t="str">
        <f t="shared" ref="CH50:CH56" si="48">IFERROR($CB50/$CC50/(1-$CD50),"-")</f>
        <v>-</v>
      </c>
      <c r="CI50" s="9"/>
    </row>
    <row r="51" spans="39:87" ht="18.95" customHeight="1" x14ac:dyDescent="0.25">
      <c r="AM51" s="259">
        <v>46</v>
      </c>
      <c r="AN51" s="310" t="str">
        <f t="shared" si="29"/>
        <v>-</v>
      </c>
      <c r="AO51" s="9" t="str">
        <f t="shared" si="16"/>
        <v>-</v>
      </c>
      <c r="AP51" s="289" t="str">
        <f t="shared" si="17"/>
        <v>-</v>
      </c>
      <c r="AQ51" s="9" t="str">
        <f t="shared" si="18"/>
        <v>-</v>
      </c>
      <c r="AR51" s="453"/>
      <c r="AS51" s="453"/>
      <c r="AT51" s="229" t="str">
        <f t="shared" si="19"/>
        <v>-</v>
      </c>
      <c r="AU51" s="290" t="str">
        <f t="shared" si="20"/>
        <v>N/A</v>
      </c>
      <c r="AV51" s="453"/>
      <c r="AW51" s="290" t="str">
        <f t="shared" si="7"/>
        <v>N/A</v>
      </c>
      <c r="AX51" s="453"/>
      <c r="AY51" s="290" t="str">
        <f t="shared" si="21"/>
        <v>N/A</v>
      </c>
      <c r="AZ51" s="453"/>
      <c r="BA51" s="291" t="str">
        <f t="shared" si="22"/>
        <v>N/A</v>
      </c>
      <c r="BB51" s="292" t="str">
        <f t="shared" si="23"/>
        <v>-</v>
      </c>
      <c r="BC51" s="512" t="str">
        <f t="shared" si="24"/>
        <v>-</v>
      </c>
      <c r="BD51" s="293" t="str">
        <f t="shared" si="25"/>
        <v>-</v>
      </c>
      <c r="BE51" s="293" t="str">
        <f t="shared" si="26"/>
        <v>-</v>
      </c>
      <c r="BF51" s="294" t="str">
        <f t="shared" si="27"/>
        <v>-</v>
      </c>
      <c r="BG51" s="9"/>
      <c r="BH51" s="9"/>
      <c r="BI51" s="9"/>
      <c r="BJ51" s="9"/>
      <c r="BZ51" s="9"/>
      <c r="CA51" s="476"/>
      <c r="CB51" s="515">
        <f>IFERROR(VLOOKUP(CA51,Feed!$B$4:$H$19,2,FALSE)*($BR$11/$BQ$11)+VLOOKUP(CA51,Feed!$B$4:$H$19,3,FALSE)*($BS$11/$BQ$11)+VLOOKUP(CA51,Feed!$B$4:$H$19,4,FALSE)*($BT$11/$BQ$11)+VLOOKUP(CA51,Feed!$B$4:$H$19,5,FALSE)*($BU$11/$BQ$11),0)</f>
        <v>0</v>
      </c>
      <c r="CC51" s="299" t="str">
        <f t="shared" si="45"/>
        <v>-</v>
      </c>
      <c r="CD51" s="299" t="str">
        <f t="shared" si="46"/>
        <v>-</v>
      </c>
      <c r="CE51" s="482"/>
      <c r="CF51" s="299" t="str">
        <f t="shared" ref="CF51:CF56" si="49">IFERROR(CE51/$CE$57,"-")</f>
        <v>-</v>
      </c>
      <c r="CG51" s="300">
        <f t="shared" si="47"/>
        <v>0</v>
      </c>
      <c r="CH51" s="301" t="str">
        <f t="shared" si="48"/>
        <v>-</v>
      </c>
      <c r="CI51" s="9"/>
    </row>
    <row r="52" spans="39:87" ht="18.95" customHeight="1" x14ac:dyDescent="0.25">
      <c r="AM52" s="259">
        <v>47</v>
      </c>
      <c r="AN52" s="310" t="str">
        <f t="shared" si="29"/>
        <v>-</v>
      </c>
      <c r="AO52" s="9" t="str">
        <f t="shared" si="16"/>
        <v>-</v>
      </c>
      <c r="AP52" s="289" t="str">
        <f t="shared" si="17"/>
        <v>-</v>
      </c>
      <c r="AQ52" s="9" t="str">
        <f t="shared" si="18"/>
        <v>-</v>
      </c>
      <c r="AR52" s="453"/>
      <c r="AS52" s="453"/>
      <c r="AT52" s="229" t="str">
        <f t="shared" si="19"/>
        <v>-</v>
      </c>
      <c r="AU52" s="290" t="str">
        <f t="shared" si="20"/>
        <v>N/A</v>
      </c>
      <c r="AV52" s="453"/>
      <c r="AW52" s="290" t="str">
        <f t="shared" si="7"/>
        <v>N/A</v>
      </c>
      <c r="AX52" s="453"/>
      <c r="AY52" s="290" t="str">
        <f t="shared" si="21"/>
        <v>N/A</v>
      </c>
      <c r="AZ52" s="453"/>
      <c r="BA52" s="291" t="str">
        <f t="shared" si="22"/>
        <v>N/A</v>
      </c>
      <c r="BB52" s="292" t="str">
        <f t="shared" si="23"/>
        <v>-</v>
      </c>
      <c r="BC52" s="512" t="str">
        <f t="shared" si="24"/>
        <v>-</v>
      </c>
      <c r="BD52" s="293" t="str">
        <f t="shared" si="25"/>
        <v>-</v>
      </c>
      <c r="BE52" s="293" t="str">
        <f t="shared" si="26"/>
        <v>-</v>
      </c>
      <c r="BF52" s="294" t="str">
        <f t="shared" si="27"/>
        <v>-</v>
      </c>
      <c r="BG52" s="9"/>
      <c r="BH52" s="9"/>
      <c r="BI52" s="9"/>
      <c r="BJ52" s="9"/>
      <c r="BZ52" s="9"/>
      <c r="CA52" s="476"/>
      <c r="CB52" s="515">
        <f>IFERROR(VLOOKUP(CA52,Feed!$B$4:$H$19,2,FALSE)*($BR$11/$BQ$11)+VLOOKUP(CA52,Feed!$B$4:$H$19,3,FALSE)*($BS$11/$BQ$11)+VLOOKUP(CA52,Feed!$B$4:$H$19,4,FALSE)*($BT$11/$BQ$11)+VLOOKUP(CA52,Feed!$B$4:$H$19,5,FALSE)*($BU$11/$BQ$11),0)</f>
        <v>0</v>
      </c>
      <c r="CC52" s="299" t="str">
        <f t="shared" si="45"/>
        <v>-</v>
      </c>
      <c r="CD52" s="299" t="str">
        <f t="shared" si="46"/>
        <v>-</v>
      </c>
      <c r="CE52" s="482"/>
      <c r="CF52" s="299" t="str">
        <f t="shared" si="49"/>
        <v>-</v>
      </c>
      <c r="CG52" s="300">
        <f t="shared" si="47"/>
        <v>0</v>
      </c>
      <c r="CH52" s="301" t="str">
        <f t="shared" si="48"/>
        <v>-</v>
      </c>
      <c r="CI52" s="9"/>
    </row>
    <row r="53" spans="39:87" ht="18.95" customHeight="1" x14ac:dyDescent="0.25">
      <c r="AM53" s="259">
        <v>48</v>
      </c>
      <c r="AN53" s="310" t="str">
        <f t="shared" si="29"/>
        <v>-</v>
      </c>
      <c r="AO53" s="9" t="str">
        <f t="shared" si="16"/>
        <v>-</v>
      </c>
      <c r="AP53" s="289" t="str">
        <f t="shared" si="17"/>
        <v>-</v>
      </c>
      <c r="AQ53" s="9" t="str">
        <f t="shared" si="18"/>
        <v>-</v>
      </c>
      <c r="AR53" s="453"/>
      <c r="AS53" s="453"/>
      <c r="AT53" s="229" t="str">
        <f t="shared" si="19"/>
        <v>-</v>
      </c>
      <c r="AU53" s="290" t="str">
        <f t="shared" si="20"/>
        <v>N/A</v>
      </c>
      <c r="AV53" s="453"/>
      <c r="AW53" s="290" t="str">
        <f t="shared" si="7"/>
        <v>N/A</v>
      </c>
      <c r="AX53" s="453"/>
      <c r="AY53" s="290" t="str">
        <f t="shared" si="21"/>
        <v>N/A</v>
      </c>
      <c r="AZ53" s="453"/>
      <c r="BA53" s="291" t="str">
        <f t="shared" si="22"/>
        <v>N/A</v>
      </c>
      <c r="BB53" s="292" t="str">
        <f t="shared" si="23"/>
        <v>-</v>
      </c>
      <c r="BC53" s="512" t="str">
        <f t="shared" si="24"/>
        <v>-</v>
      </c>
      <c r="BD53" s="293" t="str">
        <f t="shared" si="25"/>
        <v>-</v>
      </c>
      <c r="BE53" s="293" t="str">
        <f t="shared" si="26"/>
        <v>-</v>
      </c>
      <c r="BF53" s="294" t="str">
        <f t="shared" si="27"/>
        <v>-</v>
      </c>
      <c r="BG53" s="9"/>
      <c r="BH53" s="9"/>
      <c r="BI53" s="9"/>
      <c r="BJ53" s="9"/>
      <c r="BZ53" s="9"/>
      <c r="CA53" s="476"/>
      <c r="CB53" s="515">
        <f>IFERROR(VLOOKUP(CA53,Feed!$B$4:$H$19,2,FALSE)*($BR$11/$BQ$11)+VLOOKUP(CA53,Feed!$B$4:$H$19,3,FALSE)*($BS$11/$BQ$11)+VLOOKUP(CA53,Feed!$B$4:$H$19,4,FALSE)*($BT$11/$BQ$11)+VLOOKUP(CA53,Feed!$B$4:$H$19,5,FALSE)*($BU$11/$BQ$11),0)</f>
        <v>0</v>
      </c>
      <c r="CC53" s="299" t="str">
        <f t="shared" si="45"/>
        <v>-</v>
      </c>
      <c r="CD53" s="299" t="str">
        <f t="shared" si="46"/>
        <v>-</v>
      </c>
      <c r="CE53" s="482"/>
      <c r="CF53" s="299" t="str">
        <f t="shared" si="49"/>
        <v>-</v>
      </c>
      <c r="CG53" s="300">
        <f t="shared" si="47"/>
        <v>0</v>
      </c>
      <c r="CH53" s="301" t="str">
        <f t="shared" si="48"/>
        <v>-</v>
      </c>
      <c r="CI53" s="9"/>
    </row>
    <row r="54" spans="39:87" ht="18.95" customHeight="1" x14ac:dyDescent="0.25">
      <c r="AM54" s="259">
        <v>49</v>
      </c>
      <c r="AN54" s="310" t="str">
        <f t="shared" si="29"/>
        <v>-</v>
      </c>
      <c r="AO54" s="9" t="str">
        <f t="shared" si="16"/>
        <v>-</v>
      </c>
      <c r="AP54" s="289" t="str">
        <f t="shared" si="17"/>
        <v>-</v>
      </c>
      <c r="AQ54" s="9" t="str">
        <f t="shared" si="18"/>
        <v>-</v>
      </c>
      <c r="AR54" s="453"/>
      <c r="AS54" s="453"/>
      <c r="AT54" s="229" t="str">
        <f t="shared" si="19"/>
        <v>-</v>
      </c>
      <c r="AU54" s="290" t="str">
        <f t="shared" si="20"/>
        <v>N/A</v>
      </c>
      <c r="AV54" s="453"/>
      <c r="AW54" s="290" t="str">
        <f t="shared" si="7"/>
        <v>N/A</v>
      </c>
      <c r="AX54" s="453"/>
      <c r="AY54" s="290" t="str">
        <f t="shared" si="21"/>
        <v>N/A</v>
      </c>
      <c r="AZ54" s="453"/>
      <c r="BA54" s="291" t="str">
        <f t="shared" si="22"/>
        <v>N/A</v>
      </c>
      <c r="BB54" s="292" t="str">
        <f t="shared" si="23"/>
        <v>-</v>
      </c>
      <c r="BC54" s="512" t="str">
        <f t="shared" si="24"/>
        <v>-</v>
      </c>
      <c r="BD54" s="293" t="str">
        <f t="shared" si="25"/>
        <v>-</v>
      </c>
      <c r="BE54" s="293" t="str">
        <f t="shared" si="26"/>
        <v>-</v>
      </c>
      <c r="BF54" s="294" t="str">
        <f t="shared" si="27"/>
        <v>-</v>
      </c>
      <c r="BG54" s="9"/>
      <c r="BH54" s="9"/>
      <c r="BI54" s="9"/>
      <c r="BJ54" s="9"/>
      <c r="BZ54" s="9"/>
      <c r="CA54" s="476"/>
      <c r="CB54" s="515">
        <f>IFERROR(VLOOKUP(CA54,Feed!$B$4:$H$19,2,FALSE)*($BR$11/$BQ$11)+VLOOKUP(CA54,Feed!$B$4:$H$19,3,FALSE)*($BS$11/$BQ$11)+VLOOKUP(CA54,Feed!$B$4:$H$19,4,FALSE)*($BT$11/$BQ$11)+VLOOKUP(CA54,Feed!$B$4:$H$19,5,FALSE)*($BU$11/$BQ$11),0)</f>
        <v>0</v>
      </c>
      <c r="CC54" s="299" t="str">
        <f t="shared" si="45"/>
        <v>-</v>
      </c>
      <c r="CD54" s="299" t="str">
        <f t="shared" si="46"/>
        <v>-</v>
      </c>
      <c r="CE54" s="482"/>
      <c r="CF54" s="299" t="str">
        <f t="shared" si="49"/>
        <v>-</v>
      </c>
      <c r="CG54" s="300">
        <f t="shared" si="47"/>
        <v>0</v>
      </c>
      <c r="CH54" s="301" t="str">
        <f t="shared" si="48"/>
        <v>-</v>
      </c>
      <c r="CI54" s="9"/>
    </row>
    <row r="55" spans="39:87" ht="18.95" customHeight="1" thickBot="1" x14ac:dyDescent="0.3">
      <c r="AM55" s="259">
        <v>50</v>
      </c>
      <c r="AN55" s="384" t="str">
        <f t="shared" si="29"/>
        <v>-</v>
      </c>
      <c r="AO55" s="385" t="str">
        <f t="shared" si="16"/>
        <v>-</v>
      </c>
      <c r="AP55" s="401" t="str">
        <f t="shared" si="17"/>
        <v>-</v>
      </c>
      <c r="AQ55" s="385" t="str">
        <f t="shared" si="18"/>
        <v>-</v>
      </c>
      <c r="AR55" s="454"/>
      <c r="AS55" s="455"/>
      <c r="AT55" s="402" t="str">
        <f t="shared" si="19"/>
        <v>-</v>
      </c>
      <c r="AU55" s="403" t="str">
        <f t="shared" si="20"/>
        <v>N/A</v>
      </c>
      <c r="AV55" s="455"/>
      <c r="AW55" s="403" t="str">
        <f t="shared" si="7"/>
        <v>N/A</v>
      </c>
      <c r="AX55" s="455"/>
      <c r="AY55" s="403" t="str">
        <f t="shared" si="21"/>
        <v>N/A</v>
      </c>
      <c r="AZ55" s="455"/>
      <c r="BA55" s="404" t="str">
        <f t="shared" si="22"/>
        <v>N/A</v>
      </c>
      <c r="BB55" s="405" t="str">
        <f t="shared" si="23"/>
        <v>-</v>
      </c>
      <c r="BC55" s="513" t="str">
        <f t="shared" si="24"/>
        <v>-</v>
      </c>
      <c r="BD55" s="406" t="str">
        <f t="shared" si="25"/>
        <v>-</v>
      </c>
      <c r="BE55" s="406" t="str">
        <f t="shared" si="26"/>
        <v>-</v>
      </c>
      <c r="BF55" s="407" t="str">
        <f t="shared" si="27"/>
        <v>-</v>
      </c>
      <c r="BG55" s="9"/>
      <c r="BH55" s="9"/>
      <c r="BI55" s="9"/>
      <c r="BJ55" s="9"/>
      <c r="BZ55" s="9"/>
      <c r="CA55" s="476"/>
      <c r="CB55" s="515">
        <f>IFERROR(VLOOKUP(CA55,Feed!$B$4:$H$19,2,FALSE)*($BR$11/$BQ$11)+VLOOKUP(CA55,Feed!$B$4:$H$19,3,FALSE)*($BS$11/$BQ$11)+VLOOKUP(CA55,Feed!$B$4:$H$19,4,FALSE)*($BT$11/$BQ$11)+VLOOKUP(CA55,Feed!$B$4:$H$19,5,FALSE)*($BU$11/$BQ$11),0)</f>
        <v>0</v>
      </c>
      <c r="CC55" s="299" t="str">
        <f t="shared" si="45"/>
        <v>-</v>
      </c>
      <c r="CD55" s="299" t="str">
        <f t="shared" si="46"/>
        <v>-</v>
      </c>
      <c r="CE55" s="482"/>
      <c r="CF55" s="299" t="str">
        <f t="shared" si="49"/>
        <v>-</v>
      </c>
      <c r="CG55" s="300">
        <f t="shared" si="47"/>
        <v>0</v>
      </c>
      <c r="CH55" s="301" t="str">
        <f t="shared" si="48"/>
        <v>-</v>
      </c>
      <c r="CI55" s="9"/>
    </row>
    <row r="56" spans="39:87" ht="18.95" customHeight="1" thickBot="1" x14ac:dyDescent="0.3">
      <c r="AM56" s="9"/>
      <c r="AN56" s="628" t="s">
        <v>138</v>
      </c>
      <c r="AO56" s="629"/>
      <c r="AP56" s="629"/>
      <c r="AQ56" s="629"/>
      <c r="AR56" s="408">
        <f>IFERROR(AVERAGE(AR6:AR55),)</f>
        <v>0</v>
      </c>
      <c r="AS56" s="408">
        <f>IFERROR(AVERAGE(AS6:AS55),)</f>
        <v>0</v>
      </c>
      <c r="AT56" s="408"/>
      <c r="AU56" s="408" t="str">
        <f>IFERROR(AVERAGE(AU6:AU55),"No weights entered")</f>
        <v>No weights entered</v>
      </c>
      <c r="AV56" s="408">
        <f>IFERROR(AVERAGE(AV6:AV55),)</f>
        <v>0</v>
      </c>
      <c r="AW56" s="408" t="str">
        <f>IFERROR(AVERAGE(AW6:AW55),"No weights entered")</f>
        <v>No weights entered</v>
      </c>
      <c r="AX56" s="408">
        <f>IFERROR(AVERAGE(AX6:AX55),)</f>
        <v>0</v>
      </c>
      <c r="AY56" s="408" t="str">
        <f>IFERROR(AVERAGE(AY6:AY55),"No weights entered")</f>
        <v>No weights entered</v>
      </c>
      <c r="AZ56" s="408">
        <f>IFERROR(AVERAGE(AZ6:AZ55),)</f>
        <v>0</v>
      </c>
      <c r="BA56" s="408" t="str">
        <f>IFERROR(AVERAGE(BA6:BA55),"No weights entered")</f>
        <v>No weights entered</v>
      </c>
      <c r="BB56" s="409" t="str">
        <f>IFERROR(AVERAGE(BB6:BB55),"-")</f>
        <v>-</v>
      </c>
      <c r="BC56" s="408"/>
      <c r="BD56" s="408" t="str">
        <f>IFERROR(AVERAGE(BD6:BD55),"-")</f>
        <v>-</v>
      </c>
      <c r="BE56" s="408" t="str">
        <f>IFERROR(AVERAGE(BE6:BE55),"-")</f>
        <v>-</v>
      </c>
      <c r="BF56" s="410" t="str">
        <f>IFERROR(AVERAGE(BF6:BF55),"-")</f>
        <v>-</v>
      </c>
      <c r="BG56" s="9"/>
      <c r="BH56" s="9"/>
      <c r="BI56" s="9"/>
      <c r="BJ56" s="9"/>
      <c r="BZ56" s="9"/>
      <c r="CA56" s="338" t="s">
        <v>330</v>
      </c>
      <c r="CB56" s="516">
        <f>'AUM Evaluator'!$S$9*$CB$61</f>
        <v>78.359787947924048</v>
      </c>
      <c r="CC56" s="299">
        <v>1</v>
      </c>
      <c r="CD56" s="340">
        <v>0</v>
      </c>
      <c r="CE56" s="483"/>
      <c r="CF56" s="341" t="str">
        <f t="shared" si="49"/>
        <v>-</v>
      </c>
      <c r="CG56" s="342">
        <f t="shared" si="47"/>
        <v>0</v>
      </c>
      <c r="CH56" s="343">
        <f t="shared" si="48"/>
        <v>78.359787947924048</v>
      </c>
      <c r="CI56" s="9"/>
    </row>
    <row r="57" spans="39:87" ht="18.95" customHeight="1" x14ac:dyDescent="0.25">
      <c r="AM57" s="9"/>
      <c r="AN57" s="9"/>
      <c r="AO57" s="9"/>
      <c r="AP57" s="9"/>
      <c r="AQ57" s="9"/>
      <c r="AR57" s="259" t="s">
        <v>244</v>
      </c>
      <c r="AS57" s="259">
        <f>COUNTIF(AS6:AS55,$BH$13)</f>
        <v>0</v>
      </c>
      <c r="AT57" s="259"/>
      <c r="AU57" s="259"/>
      <c r="AV57" s="259">
        <f>COUNTIF(AV6:AV55,$BH$13)</f>
        <v>0</v>
      </c>
      <c r="AW57" s="259"/>
      <c r="AX57" s="259">
        <f>COUNTIF(AX6:AX55,$BH$13)</f>
        <v>0</v>
      </c>
      <c r="AY57" s="259"/>
      <c r="AZ57" s="259">
        <f>COUNTIF(AZ6:AZ55,$BH$13)</f>
        <v>0</v>
      </c>
      <c r="BA57" s="521"/>
      <c r="BB57" s="9"/>
      <c r="BC57" s="514"/>
      <c r="BD57" s="9"/>
      <c r="BE57" s="9"/>
      <c r="BF57" s="9"/>
      <c r="BG57" s="9"/>
      <c r="BH57" s="9"/>
      <c r="BI57" s="9"/>
      <c r="BJ57" s="9"/>
      <c r="BZ57" s="9"/>
      <c r="CA57" s="348"/>
      <c r="CB57" s="349"/>
      <c r="CC57" s="350" t="s">
        <v>58</v>
      </c>
      <c r="CD57" s="351"/>
      <c r="CE57" s="352">
        <f>SUM(CE50:CE56)</f>
        <v>0</v>
      </c>
      <c r="CF57" s="353">
        <f>SUM(CF50:CF56)</f>
        <v>0</v>
      </c>
      <c r="CG57" s="352">
        <f t="shared" si="47"/>
        <v>0</v>
      </c>
      <c r="CH57" s="354"/>
      <c r="CI57" s="9"/>
    </row>
    <row r="58" spans="39:87" ht="18.95" customHeight="1" thickBot="1" x14ac:dyDescent="0.3">
      <c r="AM58" s="9"/>
      <c r="AN58" s="9"/>
      <c r="AO58" s="9"/>
      <c r="AP58" s="9"/>
      <c r="AQ58" s="9"/>
      <c r="AR58" s="259" t="s">
        <v>303</v>
      </c>
      <c r="AS58" s="259">
        <f>COUNTIF(AS6:AS55,$BH$14)</f>
        <v>0</v>
      </c>
      <c r="AT58" s="259"/>
      <c r="AU58" s="259"/>
      <c r="AV58" s="259">
        <f>COUNTIF(AV6:AV55,$BH$14)</f>
        <v>0</v>
      </c>
      <c r="AW58" s="259"/>
      <c r="AX58" s="259">
        <f>COUNTIF(AX6:AX55,$BH$14)</f>
        <v>0</v>
      </c>
      <c r="AY58" s="259"/>
      <c r="AZ58" s="259">
        <f>COUNTIF(AZ6:AZ55,$BH$14)</f>
        <v>0</v>
      </c>
      <c r="BA58" s="521"/>
      <c r="BB58" s="9"/>
      <c r="BC58" s="514"/>
      <c r="BD58" s="9"/>
      <c r="BE58" s="9"/>
      <c r="BF58" s="9"/>
      <c r="BG58" s="9"/>
      <c r="BH58" s="9"/>
      <c r="BI58" s="9"/>
      <c r="BJ58" s="9"/>
      <c r="BZ58" s="9"/>
      <c r="CA58" s="363"/>
      <c r="CB58" s="364"/>
      <c r="CC58" s="365"/>
      <c r="CD58" s="366" t="s">
        <v>208</v>
      </c>
      <c r="CE58" s="366"/>
      <c r="CF58" s="367">
        <f>SUM(CF51:CF57)</f>
        <v>0</v>
      </c>
      <c r="CG58" s="367"/>
      <c r="CH58" s="368">
        <f>SUMPRODUCT(CF50:CF56,CH50:CH56,CC50:CC56)</f>
        <v>0</v>
      </c>
      <c r="CI58" s="9"/>
    </row>
    <row r="59" spans="39:87" ht="18.95" customHeight="1" x14ac:dyDescent="0.25">
      <c r="AM59" s="9"/>
      <c r="AN59" s="9"/>
      <c r="AO59" s="9"/>
      <c r="AP59" s="9"/>
      <c r="AQ59" s="9"/>
      <c r="AR59" s="9"/>
      <c r="AS59" s="521"/>
      <c r="AT59" s="521"/>
      <c r="AU59" s="521"/>
      <c r="AV59" s="521"/>
      <c r="AW59" s="521"/>
      <c r="AX59" s="521"/>
      <c r="AY59" s="521"/>
      <c r="AZ59" s="521"/>
      <c r="BA59" s="521"/>
      <c r="BB59" s="9"/>
      <c r="BC59" s="514"/>
      <c r="BD59" s="9"/>
      <c r="BE59" s="9"/>
      <c r="BF59" s="9"/>
      <c r="BG59" s="9"/>
      <c r="BH59" s="9"/>
      <c r="BI59" s="9"/>
      <c r="BJ59" s="9"/>
      <c r="BZ59" s="9"/>
      <c r="CA59" s="9"/>
      <c r="CB59" s="9"/>
      <c r="CC59" s="9"/>
      <c r="CD59" s="9"/>
      <c r="CE59" s="9"/>
      <c r="CF59" s="9"/>
      <c r="CG59" s="9"/>
      <c r="CH59" s="9"/>
      <c r="CI59" s="9"/>
    </row>
    <row r="60" spans="39:87" ht="18.95" customHeight="1" x14ac:dyDescent="0.25">
      <c r="AP60" s="216" t="s">
        <v>251</v>
      </c>
      <c r="AS60" s="411">
        <f>(AZ56+AR56)/2</f>
        <v>0</v>
      </c>
      <c r="AT60" s="411"/>
      <c r="BZ60" s="9"/>
      <c r="CA60" s="259" t="s">
        <v>210</v>
      </c>
      <c r="CB60" s="259">
        <v>780</v>
      </c>
      <c r="CC60" s="259" t="s">
        <v>171</v>
      </c>
      <c r="CD60" s="9"/>
      <c r="CE60" s="9"/>
      <c r="CF60" s="9"/>
      <c r="CG60" s="9"/>
      <c r="CH60" s="9"/>
      <c r="CI60" s="9"/>
    </row>
    <row r="61" spans="39:87" ht="18.95" customHeight="1" x14ac:dyDescent="0.25">
      <c r="BZ61" s="9"/>
      <c r="CA61" s="259" t="s">
        <v>211</v>
      </c>
      <c r="CB61" s="412">
        <f>2000/CB60</f>
        <v>2.5641025641025643</v>
      </c>
      <c r="CC61" s="259"/>
      <c r="CD61" s="9"/>
      <c r="CE61" s="9"/>
      <c r="CF61" s="9"/>
      <c r="CG61" s="9"/>
      <c r="CH61" s="9"/>
      <c r="CI61" s="9"/>
    </row>
    <row r="98" spans="40:43" ht="18.95" customHeight="1" x14ac:dyDescent="0.25">
      <c r="AN98" s="630" t="s">
        <v>190</v>
      </c>
      <c r="AO98" s="631"/>
      <c r="AP98" s="631"/>
      <c r="AQ98" s="632"/>
    </row>
    <row r="99" spans="40:43" ht="18.95" customHeight="1" x14ac:dyDescent="0.25">
      <c r="AN99" s="413"/>
      <c r="AO99" s="633" t="s">
        <v>110</v>
      </c>
      <c r="AP99" s="633"/>
      <c r="AQ99" s="414" t="s">
        <v>111</v>
      </c>
    </row>
    <row r="100" spans="40:43" ht="18.95" customHeight="1" x14ac:dyDescent="0.25">
      <c r="AN100" s="415" t="s">
        <v>191</v>
      </c>
      <c r="AO100" s="416"/>
      <c r="AP100" s="416"/>
      <c r="AQ100" s="417"/>
    </row>
    <row r="101" spans="40:43" ht="18.95" customHeight="1" x14ac:dyDescent="0.25">
      <c r="AN101" s="415"/>
      <c r="AO101" s="416" t="s">
        <v>112</v>
      </c>
      <c r="AP101" s="416"/>
      <c r="AQ101" s="418">
        <v>1.32</v>
      </c>
    </row>
    <row r="102" spans="40:43" ht="18.95" customHeight="1" x14ac:dyDescent="0.25">
      <c r="AN102" s="415"/>
      <c r="AO102" s="416" t="s">
        <v>113</v>
      </c>
      <c r="AP102" s="416"/>
      <c r="AQ102" s="418">
        <v>0</v>
      </c>
    </row>
    <row r="103" spans="40:43" ht="18.95" customHeight="1" x14ac:dyDescent="0.25">
      <c r="AN103" s="415"/>
      <c r="AO103" s="419" t="s">
        <v>114</v>
      </c>
      <c r="AP103" s="419"/>
      <c r="AQ103" s="418">
        <v>1.71</v>
      </c>
    </row>
    <row r="104" spans="40:43" ht="18.95" customHeight="1" x14ac:dyDescent="0.25">
      <c r="AN104" s="415"/>
      <c r="AO104" s="420" t="s">
        <v>115</v>
      </c>
      <c r="AP104" s="421"/>
      <c r="AQ104" s="418">
        <v>1.33</v>
      </c>
    </row>
    <row r="105" spans="40:43" ht="18.95" customHeight="1" x14ac:dyDescent="0.25">
      <c r="AN105" s="415"/>
      <c r="AO105" s="416" t="s">
        <v>116</v>
      </c>
      <c r="AP105" s="416"/>
      <c r="AQ105" s="418">
        <v>1.1499999999999999</v>
      </c>
    </row>
    <row r="106" spans="40:43" ht="18.95" customHeight="1" x14ac:dyDescent="0.25">
      <c r="AN106" s="415"/>
      <c r="AO106" s="416" t="s">
        <v>117</v>
      </c>
      <c r="AP106" s="416"/>
      <c r="AQ106" s="422">
        <v>3.29</v>
      </c>
    </row>
    <row r="107" spans="40:43" ht="18.95" customHeight="1" x14ac:dyDescent="0.25">
      <c r="AN107" s="415"/>
      <c r="AO107" s="416" t="s">
        <v>118</v>
      </c>
      <c r="AP107" s="416"/>
      <c r="AQ107" s="423">
        <v>3.94</v>
      </c>
    </row>
    <row r="108" spans="40:43" ht="18.95" customHeight="1" x14ac:dyDescent="0.25">
      <c r="AN108" s="415"/>
      <c r="AO108" s="416" t="s">
        <v>119</v>
      </c>
      <c r="AP108" s="416"/>
      <c r="AQ108" s="423">
        <v>2.2799999999999998</v>
      </c>
    </row>
    <row r="109" spans="40:43" ht="18.95" customHeight="1" x14ac:dyDescent="0.25">
      <c r="AN109" s="415"/>
      <c r="AO109" s="416"/>
      <c r="AP109" s="416"/>
      <c r="AQ109" s="418">
        <f>+SUM(AQ101:AQ108)*AO94</f>
        <v>0</v>
      </c>
    </row>
    <row r="110" spans="40:43" ht="18.95" customHeight="1" x14ac:dyDescent="0.25">
      <c r="AN110" s="415" t="s">
        <v>120</v>
      </c>
      <c r="AO110" s="416"/>
      <c r="AP110" s="416"/>
      <c r="AQ110" s="417"/>
    </row>
    <row r="111" spans="40:43" ht="18.95" customHeight="1" x14ac:dyDescent="0.25">
      <c r="AN111" s="415"/>
      <c r="AO111" s="416" t="s">
        <v>121</v>
      </c>
      <c r="AP111" s="416"/>
      <c r="AQ111" s="418">
        <v>696</v>
      </c>
    </row>
    <row r="112" spans="40:43" ht="18.95" customHeight="1" x14ac:dyDescent="0.25">
      <c r="AN112" s="415"/>
      <c r="AO112" s="416"/>
      <c r="AP112" s="416"/>
      <c r="AQ112" s="417"/>
    </row>
    <row r="113" spans="40:43" ht="18.95" customHeight="1" x14ac:dyDescent="0.25">
      <c r="AN113" s="415" t="s">
        <v>122</v>
      </c>
      <c r="AO113" s="416"/>
      <c r="AP113" s="424" t="s">
        <v>123</v>
      </c>
      <c r="AQ113" s="425">
        <f>+AZ213</f>
        <v>0</v>
      </c>
    </row>
    <row r="114" spans="40:43" ht="18.95" customHeight="1" x14ac:dyDescent="0.25">
      <c r="AN114" s="415"/>
      <c r="AO114" s="623"/>
      <c r="AP114" s="623"/>
      <c r="AQ114" s="418">
        <v>0</v>
      </c>
    </row>
    <row r="115" spans="40:43" ht="18.95" customHeight="1" x14ac:dyDescent="0.25">
      <c r="AQ115" s="426"/>
    </row>
    <row r="116" spans="40:43" ht="18.95" customHeight="1" x14ac:dyDescent="0.25">
      <c r="AN116" s="415" t="s">
        <v>124</v>
      </c>
      <c r="AO116" s="416"/>
      <c r="AP116" s="416"/>
      <c r="AQ116" s="418" t="e">
        <f>+((SUM(AQ113,AQ109,AQ118,#REF!)*8.5%)/365)*80</f>
        <v>#REF!</v>
      </c>
    </row>
    <row r="117" spans="40:43" ht="18.95" customHeight="1" x14ac:dyDescent="0.25">
      <c r="AN117" s="415"/>
      <c r="AO117" s="416"/>
      <c r="AP117" s="416"/>
      <c r="AQ117" s="418" t="s">
        <v>125</v>
      </c>
    </row>
    <row r="118" spans="40:43" ht="18.95" customHeight="1" x14ac:dyDescent="0.25">
      <c r="AN118" s="427" t="s">
        <v>19</v>
      </c>
      <c r="AO118" s="428"/>
      <c r="AQ118" s="429">
        <v>300</v>
      </c>
    </row>
    <row r="119" spans="40:43" ht="18.95" customHeight="1" x14ac:dyDescent="0.25">
      <c r="AQ119" s="426"/>
    </row>
    <row r="120" spans="40:43" ht="18.95" customHeight="1" x14ac:dyDescent="0.25">
      <c r="AN120" s="415" t="s">
        <v>126</v>
      </c>
      <c r="AP120" s="416" t="s">
        <v>127</v>
      </c>
      <c r="AQ120" s="430">
        <f>30*AO96</f>
        <v>0</v>
      </c>
    </row>
    <row r="121" spans="40:43" ht="18.95" customHeight="1" x14ac:dyDescent="0.25">
      <c r="AN121" s="431"/>
      <c r="AO121" s="624" t="s">
        <v>128</v>
      </c>
      <c r="AP121" s="624"/>
      <c r="AQ121" s="432" t="e">
        <f>+SUM(AQ109,AQ118,AQ111,AQ113,AQ114,AQ116,AQ120)</f>
        <v>#REF!</v>
      </c>
    </row>
  </sheetData>
  <sheetProtection sheet="1" objects="1" scenarios="1"/>
  <protectedRanges>
    <protectedRange sqref="CW5:DA18 DJ5:DK29 DM5:DN29 DP3:DP29" name="Animal Health"/>
    <protectedRange sqref="BN7:BP11 CA6:CA11 CA17:CA22 CA28:CA33 CA39:CA44 CA50:CA55 CE50:CE56 CE39:CE45 CE28:CE34 CE17:CE23 CE6:CE12" name="Feed Rations"/>
    <protectedRange sqref="AR2:BA2 AR6:AS55 AV6:AV55 AX6:AX55 AZ6:AZ55" name="Animal Information"/>
    <protectedRange sqref="Q5:Q14 S5:W14 AA5:AC14" name="Lot Summary"/>
    <protectedRange sqref="J5:J13" name="Input"/>
  </protectedRanges>
  <mergeCells count="46">
    <mergeCell ref="AO114:AP114"/>
    <mergeCell ref="AO121:AP121"/>
    <mergeCell ref="DY16:DY17"/>
    <mergeCell ref="DZ24:EA24"/>
    <mergeCell ref="DZ25:EA25"/>
    <mergeCell ref="AN56:AQ56"/>
    <mergeCell ref="AN98:AQ98"/>
    <mergeCell ref="AO99:AP99"/>
    <mergeCell ref="A12:F12"/>
    <mergeCell ref="A3:F3"/>
    <mergeCell ref="A5:F5"/>
    <mergeCell ref="BN5:BY5"/>
    <mergeCell ref="DY5:EB5"/>
    <mergeCell ref="A6:F6"/>
    <mergeCell ref="A7:F7"/>
    <mergeCell ref="A8:F8"/>
    <mergeCell ref="A9:F9"/>
    <mergeCell ref="A10:F10"/>
    <mergeCell ref="A11:F11"/>
    <mergeCell ref="DY11:EB11"/>
    <mergeCell ref="EM1:EP2"/>
    <mergeCell ref="A2:F2"/>
    <mergeCell ref="AN2:AQ2"/>
    <mergeCell ref="AS2:AU2"/>
    <mergeCell ref="AV2:AW2"/>
    <mergeCell ref="AX2:AY2"/>
    <mergeCell ref="AZ2:BA2"/>
    <mergeCell ref="BB2:BF2"/>
    <mergeCell ref="DC1:DF2"/>
    <mergeCell ref="DJ1:DQ1"/>
    <mergeCell ref="DR1:DU2"/>
    <mergeCell ref="DY1:EB1"/>
    <mergeCell ref="EC1:EF2"/>
    <mergeCell ref="EK1:EL1"/>
    <mergeCell ref="BG1:BJ2"/>
    <mergeCell ref="BN1:CH1"/>
    <mergeCell ref="CI1:CI2"/>
    <mergeCell ref="CM1:CO1"/>
    <mergeCell ref="CP1:CS2"/>
    <mergeCell ref="CW1:DB1"/>
    <mergeCell ref="A1:F1"/>
    <mergeCell ref="I1:K1"/>
    <mergeCell ref="L1:L2"/>
    <mergeCell ref="P1:AE1"/>
    <mergeCell ref="AG1:AJ2"/>
    <mergeCell ref="AN1:BF1"/>
  </mergeCells>
  <conditionalFormatting sqref="DZ25:EB25">
    <cfRule type="colorScale" priority="2">
      <colorScale>
        <cfvo type="num" val="&quot;&lt;0&quot;"/>
        <cfvo type="num" val="&quot;&gt;=0&quot;"/>
        <color rgb="FFC00000"/>
        <color theme="1"/>
      </colorScale>
    </cfRule>
  </conditionalFormatting>
  <conditionalFormatting sqref="EB25">
    <cfRule type="cellIs" dxfId="5" priority="1" operator="lessThan">
      <formula>0</formula>
    </cfRule>
  </conditionalFormatting>
  <dataValidations count="12">
    <dataValidation type="list" allowBlank="1" showInputMessage="1" showErrorMessage="1" sqref="S5:S14" xr:uid="{D887E433-488E-4BE7-B91A-1FC4F50CC744}">
      <formula1>$AH$7:$AH$11</formula1>
    </dataValidation>
    <dataValidation type="custom" allowBlank="1" showInputMessage="1" showErrorMessage="1" error="Sum of animals sold exceeds the number of head purchased or entered into the program." sqref="AA5:AA14" xr:uid="{9110BE11-F388-456A-85D1-AE6688F323FC}">
      <formula1>SUM($AA$5:$AA$14)&lt;=$R$15</formula1>
    </dataValidation>
    <dataValidation type="whole" allowBlank="1" showInputMessage="1" showErrorMessage="1" error="The number of head sold exceeds the number of animals purchased or entered into the program." sqref="AA15" xr:uid="{19C64E77-E69C-4C67-B238-40EFF736E5A5}">
      <formula1>0</formula1>
      <formula2>R15</formula2>
    </dataValidation>
    <dataValidation type="whole" allowBlank="1" showInputMessage="1" showErrorMessage="1" sqref="DK5:DK29" xr:uid="{8AA9B335-E5E6-4E3F-817D-65989D2E9F4F}">
      <formula1>MIN($AP$6:$AP$55,$AR$2,$AS$2,$AV$2,$AX$2,$AZ$2)</formula1>
      <formula2>MAX($AP$6:$AP$55,$AR$2,$AS$2,$AV$2,$AX$2,$AZ$2)</formula2>
    </dataValidation>
    <dataValidation type="date" allowBlank="1" showInputMessage="1" showErrorMessage="1" error="Feed end date must be later than the first date cattle are purchased and on or before the date that the sale is recorded." prompt="Feed end date must be later than the first date cattle are purchased and on or before the date that the sale is recorded." sqref="BP7:BP11" xr:uid="{5896B6CF-A2CB-408F-A04C-C53377B6320A}">
      <formula1>$BO$2</formula1>
      <formula2>$BQ$2</formula2>
    </dataValidation>
    <dataValidation type="whole" allowBlank="1" showInputMessage="1" showErrorMessage="1" sqref="DJ5:DJ29" xr:uid="{771BFF77-5A19-40A9-B74C-68EA358C002C}">
      <formula1>MIN(AN6:AN55)</formula1>
      <formula2>MAX(AN6:AN55)</formula2>
    </dataValidation>
    <dataValidation type="date" allowBlank="1" showInputMessage="1" showErrorMessage="1" error="Feed start date must be later than the first date cattle are purchased and before the date that the sale is recorded." prompt="Feed start date must be later than the first date cattle are purchased and before the date that the sale is recorded." sqref="BO7:BO11" xr:uid="{51DDDFA3-F0A2-4431-9182-602263F5F637}">
      <formula1>$BO$2</formula1>
      <formula2>$BQ$2</formula2>
    </dataValidation>
    <dataValidation type="list" allowBlank="1" showInputMessage="1" showErrorMessage="1" sqref="CO3" xr:uid="{6D5ADFCC-73CB-44DC-A209-3AFFC5480413}">
      <formula1>$BN$7:$BN$11</formula1>
    </dataValidation>
    <dataValidation type="list" allowBlank="1" showInputMessage="1" showErrorMessage="1" sqref="DN5:DN29" xr:uid="{AAF25EEB-D372-4FC0-8A79-29170A6CD210}">
      <formula1>$CW$5:$CW$18</formula1>
    </dataValidation>
    <dataValidation type="list" allowBlank="1" showInputMessage="1" showErrorMessage="1" sqref="CZ5:CZ18" xr:uid="{89DBC13D-E45D-494F-93B7-F236C1DA43EB}">
      <formula1>$DD$6:$DD$7</formula1>
    </dataValidation>
    <dataValidation allowBlank="1" showInputMessage="1" showErrorMessage="1" prompt="The sum of ration ingredients as a percent of the total dry matter in the diet must equal 100%." sqref="CF28:CG34 CF17:CG23 CF6:CG12 CF39 CF41:CG45 CG39:CG40" xr:uid="{81607C8F-B22B-46CB-A2E4-5FA8523CB0B7}"/>
    <dataValidation type="whole" allowBlank="1" showInputMessage="1" showErrorMessage="1" sqref="DJ30:DL30" xr:uid="{7B3B4EF3-2000-4E91-9A51-BDADC2556CE1}">
      <formula1>#REF!</formula1>
      <formula2>#REF!</formula2>
    </dataValidation>
  </dataValidations>
  <hyperlinks>
    <hyperlink ref="A11:F11" location="'Lot 1'!EB1" display="Grower-finisher budget" xr:uid="{727492DA-F352-4C93-97BB-4EFF2D1627D0}"/>
    <hyperlink ref="BG1:BJ2" location="'Lot 1'!A1" display="Return to navigation menu" xr:uid="{77543CA7-402C-4C8D-AA38-67AB4E536920}"/>
    <hyperlink ref="AG1:AJ2" location="'Lot 1'!A1" display="Return to navigation menu" xr:uid="{262B4605-46FE-4CB1-B8B9-D34C89B4FB7C}"/>
    <hyperlink ref="EC1:EF2" location="'Lot 1'!A1" display="Return to navigation menu" xr:uid="{177CC634-17F3-4E8B-81AB-0B78A28607C0}"/>
    <hyperlink ref="DR1:DU2" location="'Lot 1'!A1" display="Return to navigation menu" xr:uid="{7E6680E8-EDAE-4D76-B304-FC1006BA6F73}"/>
    <hyperlink ref="CP1:CS2" location="'Lot 1'!A1" display="Return to navigation menu" xr:uid="{E8EE2371-B2BF-4E90-BBB1-266971D1DC06}"/>
    <hyperlink ref="EM1:EP2" location="'Lot 1'!A1" display="Return to navigation menu" xr:uid="{205F71DF-02E4-4E6F-9B30-B645894A21AC}"/>
    <hyperlink ref="A12:F12" location="'Lot 1'!EM1" display="Financial analysis" xr:uid="{64A8FF17-9D65-40E9-9DBF-830BCAC0AE8A}"/>
    <hyperlink ref="A10:F10" location="'Lot 1'!DP1" display="Individual animal treatments" xr:uid="{CBA7AFB6-6DAE-43DC-B405-550CCC84D13F}"/>
    <hyperlink ref="A5:F5" location="'Lot 1'!AH1" display="Lot summary" xr:uid="{C9A09C0B-1944-4E13-B650-D13D3BC421CA}"/>
    <hyperlink ref="A6:F6" location="'Lot 1'!BI1" display="Animal information" xr:uid="{C3E09737-3625-468A-90A2-E96DF6FDEA29}"/>
    <hyperlink ref="A9:F9" location="'Lot 1'!DD1" display="Veterinary" xr:uid="{045A3C0B-1EF8-45B0-B345-CD8883E482D2}"/>
    <hyperlink ref="DC1:DF2" location="'Lot 1'!A1" display="Return to navigation menu" xr:uid="{B47D8505-297D-4243-86E5-70415D592792}"/>
    <hyperlink ref="A2:F2" location="'Lot 1'!L1" display="Inputs" xr:uid="{6994CDC9-9347-4A0C-9449-0A9E38CDD421}"/>
    <hyperlink ref="A7:F7" location="'Lot 1'!BY1" display="Feed ration builder" xr:uid="{5C71DE0F-2D7C-4D71-A523-422C049003CA}"/>
    <hyperlink ref="A8:F8" location="'Lot 1'!CR1" display="Feed summary" xr:uid="{3DD8276E-348C-4F92-8B9E-A652C45CCAB3}"/>
    <hyperlink ref="CI1:CI2" location="'Lot 1'!A1" display="Return to navigation menu" xr:uid="{A629566A-CA6E-4E48-BCE9-05B135D01016}"/>
    <hyperlink ref="L1:L2" location="'Lot 1'!A1" display="Return to navigation menu" xr:uid="{8FC34E13-13CA-463A-9B82-D333D3D1B9D6}"/>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4FFD371-5C39-45BE-95B4-A3A8B393E944}">
          <x14:formula1>
            <xm:f>Feed!$B$4:$B$19</xm:f>
          </x14:formula1>
          <xm:sqref>CA6:CA11 CA28:CA33 CA39:CA44 CA50:CA55 CA17:CA22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8F1D0-0575-4DFF-965F-8C6D81CFEA1F}">
  <dimension ref="A1:EP121"/>
  <sheetViews>
    <sheetView showGridLines="0" workbookViewId="0">
      <selection sqref="A1:F1"/>
    </sheetView>
  </sheetViews>
  <sheetFormatPr defaultColWidth="11.28515625" defaultRowHeight="18.95" customHeight="1" x14ac:dyDescent="0.25"/>
  <cols>
    <col min="1" max="6" width="11.28515625" style="216"/>
    <col min="7" max="7" width="199.7109375" style="216" customWidth="1"/>
    <col min="8" max="8" width="11.28515625" style="216"/>
    <col min="9" max="9" width="46" style="216" bestFit="1" customWidth="1"/>
    <col min="10" max="10" width="11.28515625" style="216"/>
    <col min="11" max="11" width="14.42578125" style="216" bestFit="1" customWidth="1"/>
    <col min="12" max="12" width="34.7109375" style="216" bestFit="1" customWidth="1"/>
    <col min="13" max="13" width="141.28515625" style="216" customWidth="1"/>
    <col min="14" max="16" width="11.28515625" style="216"/>
    <col min="17" max="17" width="13.42578125" style="216" customWidth="1"/>
    <col min="18" max="25" width="11.28515625" style="216"/>
    <col min="26" max="26" width="6.7109375" style="216" customWidth="1"/>
    <col min="27" max="28" width="11.28515625" style="216"/>
    <col min="29" max="29" width="14.5703125" style="216" customWidth="1"/>
    <col min="30" max="30" width="13.28515625" style="216" customWidth="1"/>
    <col min="31" max="31" width="13.140625" style="216" customWidth="1"/>
    <col min="32" max="32" width="14.5703125" style="216" customWidth="1"/>
    <col min="33" max="40" width="11.28515625" style="216"/>
    <col min="41" max="41" width="7.140625" style="216" customWidth="1"/>
    <col min="42" max="43" width="11.28515625" style="216"/>
    <col min="44" max="44" width="11" style="216" customWidth="1"/>
    <col min="45" max="45" width="8.7109375" style="216" customWidth="1"/>
    <col min="46" max="46" width="0" style="216" hidden="1" customWidth="1"/>
    <col min="47" max="47" width="16.28515625" style="216" customWidth="1"/>
    <col min="48" max="48" width="11.28515625" style="216"/>
    <col min="49" max="49" width="18.85546875" style="216" bestFit="1" customWidth="1"/>
    <col min="50" max="50" width="11.28515625" style="216"/>
    <col min="51" max="51" width="16.28515625" style="216" customWidth="1"/>
    <col min="52" max="52" width="11.28515625" style="216"/>
    <col min="53" max="53" width="16.28515625" style="216" customWidth="1"/>
    <col min="54" max="54" width="11.28515625" style="216"/>
    <col min="55" max="55" width="11.28515625" style="411"/>
    <col min="56" max="62" width="11.28515625" style="216"/>
    <col min="63" max="64" width="11.28515625" style="213"/>
    <col min="65" max="65" width="11.28515625" style="216"/>
    <col min="66" max="66" width="29.28515625" style="216" customWidth="1"/>
    <col min="67" max="67" width="19.7109375" style="216" customWidth="1"/>
    <col min="68" max="68" width="19.85546875" style="216" customWidth="1"/>
    <col min="69" max="69" width="11.28515625" style="216"/>
    <col min="70" max="73" width="0" style="216" hidden="1" customWidth="1"/>
    <col min="74" max="74" width="24.85546875" style="216" customWidth="1"/>
    <col min="75" max="75" width="15.85546875" style="216" customWidth="1"/>
    <col min="76" max="76" width="16.28515625" style="216" customWidth="1"/>
    <col min="77" max="77" width="16.5703125" style="216" customWidth="1"/>
    <col min="78" max="78" width="11.28515625" style="216"/>
    <col min="79" max="79" width="35.28515625" style="216" customWidth="1"/>
    <col min="80" max="80" width="13.28515625" style="216" customWidth="1"/>
    <col min="81" max="81" width="14" style="216" customWidth="1"/>
    <col min="82" max="82" width="11.28515625" style="216"/>
    <col min="83" max="83" width="13.7109375" style="216" customWidth="1"/>
    <col min="84" max="84" width="11.28515625" style="216"/>
    <col min="85" max="85" width="13.7109375" style="216" customWidth="1"/>
    <col min="86" max="86" width="13.5703125" style="216" customWidth="1"/>
    <col min="87" max="87" width="34.7109375" style="216" bestFit="1" customWidth="1"/>
    <col min="88" max="88" width="141.85546875" style="216" customWidth="1"/>
    <col min="89" max="90" width="11.28515625" style="216"/>
    <col min="91" max="91" width="30" style="216" customWidth="1"/>
    <col min="92" max="92" width="12.28515625" style="216" customWidth="1"/>
    <col min="93" max="93" width="15.140625" style="216" customWidth="1"/>
    <col min="94" max="97" width="11.28515625" style="216"/>
    <col min="98" max="98" width="49.28515625" style="216" customWidth="1"/>
    <col min="99" max="99" width="93.28515625" style="216" customWidth="1"/>
    <col min="100" max="100" width="11.28515625" style="216"/>
    <col min="101" max="101" width="19.42578125" style="216" customWidth="1"/>
    <col min="102" max="102" width="23" style="216" customWidth="1"/>
    <col min="103" max="103" width="12.42578125" style="216" customWidth="1"/>
    <col min="104" max="104" width="14.85546875" style="216" customWidth="1"/>
    <col min="105" max="105" width="12.140625" style="216" customWidth="1"/>
    <col min="106" max="106" width="13.28515625" style="216" customWidth="1"/>
    <col min="107" max="110" width="11.28515625" style="216"/>
    <col min="111" max="111" width="155.28515625" style="216" customWidth="1"/>
    <col min="112" max="112" width="17.85546875" style="216" customWidth="1"/>
    <col min="113" max="116" width="11.28515625" style="216"/>
    <col min="117" max="117" width="22.140625" style="216" customWidth="1"/>
    <col min="118" max="118" width="23.140625" style="216" customWidth="1"/>
    <col min="119" max="119" width="12.85546875" style="216" customWidth="1"/>
    <col min="120" max="120" width="17.5703125" style="216" customWidth="1"/>
    <col min="121" max="121" width="14.140625" style="216" customWidth="1"/>
    <col min="122" max="125" width="11.28515625" style="216"/>
    <col min="126" max="126" width="169.7109375" style="216" customWidth="1"/>
    <col min="127" max="128" width="11.28515625" style="216"/>
    <col min="129" max="129" width="18.85546875" style="216" bestFit="1" customWidth="1"/>
    <col min="130" max="130" width="29.140625" style="216" customWidth="1"/>
    <col min="131" max="131" width="11.85546875" style="216" bestFit="1" customWidth="1"/>
    <col min="132" max="132" width="12.5703125" style="216" customWidth="1"/>
    <col min="133" max="136" width="11.28515625" style="216"/>
    <col min="137" max="137" width="176.42578125" style="216" customWidth="1"/>
    <col min="138" max="140" width="11.28515625" style="216"/>
    <col min="141" max="141" width="26.28515625" style="216" bestFit="1" customWidth="1"/>
    <col min="142" max="142" width="13.28515625" style="216" customWidth="1"/>
    <col min="143" max="16384" width="11.28515625" style="216"/>
  </cols>
  <sheetData>
    <row r="1" spans="1:146" ht="24" thickBot="1" x14ac:dyDescent="0.3">
      <c r="A1" s="586" t="s">
        <v>272</v>
      </c>
      <c r="B1" s="587"/>
      <c r="C1" s="587"/>
      <c r="D1" s="587"/>
      <c r="E1" s="587"/>
      <c r="F1" s="588"/>
      <c r="G1" s="209"/>
      <c r="H1" s="210"/>
      <c r="I1" s="589" t="s">
        <v>331</v>
      </c>
      <c r="J1" s="590"/>
      <c r="K1" s="591"/>
      <c r="L1" s="592" t="s">
        <v>200</v>
      </c>
      <c r="M1" s="209"/>
      <c r="N1" s="209"/>
      <c r="O1" s="9"/>
      <c r="P1" s="593" t="s">
        <v>286</v>
      </c>
      <c r="Q1" s="594"/>
      <c r="R1" s="594"/>
      <c r="S1" s="594"/>
      <c r="T1" s="594"/>
      <c r="U1" s="594"/>
      <c r="V1" s="594"/>
      <c r="W1" s="594"/>
      <c r="X1" s="594"/>
      <c r="Y1" s="594"/>
      <c r="Z1" s="594"/>
      <c r="AA1" s="594"/>
      <c r="AB1" s="594"/>
      <c r="AC1" s="594"/>
      <c r="AD1" s="594"/>
      <c r="AE1" s="594"/>
      <c r="AF1" s="211"/>
      <c r="AG1" s="579" t="s">
        <v>200</v>
      </c>
      <c r="AH1" s="579"/>
      <c r="AI1" s="579"/>
      <c r="AJ1" s="579"/>
      <c r="AK1" s="9"/>
      <c r="AL1" s="209"/>
      <c r="AM1" s="9"/>
      <c r="AN1" s="595" t="s">
        <v>264</v>
      </c>
      <c r="AO1" s="596"/>
      <c r="AP1" s="596"/>
      <c r="AQ1" s="596"/>
      <c r="AR1" s="596"/>
      <c r="AS1" s="596"/>
      <c r="AT1" s="596"/>
      <c r="AU1" s="596"/>
      <c r="AV1" s="596"/>
      <c r="AW1" s="596"/>
      <c r="AX1" s="596"/>
      <c r="AY1" s="596"/>
      <c r="AZ1" s="596"/>
      <c r="BA1" s="596"/>
      <c r="BB1" s="596"/>
      <c r="BC1" s="596"/>
      <c r="BD1" s="596"/>
      <c r="BE1" s="596"/>
      <c r="BF1" s="597"/>
      <c r="BG1" s="579" t="s">
        <v>200</v>
      </c>
      <c r="BH1" s="579"/>
      <c r="BI1" s="579"/>
      <c r="BJ1" s="579"/>
      <c r="BM1" s="9"/>
      <c r="BN1" s="613" t="s">
        <v>327</v>
      </c>
      <c r="BO1" s="613"/>
      <c r="BP1" s="613"/>
      <c r="BQ1" s="613"/>
      <c r="BR1" s="613"/>
      <c r="BS1" s="613"/>
      <c r="BT1" s="613"/>
      <c r="BU1" s="613"/>
      <c r="BV1" s="613"/>
      <c r="BW1" s="613"/>
      <c r="BX1" s="613"/>
      <c r="BY1" s="613"/>
      <c r="BZ1" s="613"/>
      <c r="CA1" s="613"/>
      <c r="CB1" s="613"/>
      <c r="CC1" s="613"/>
      <c r="CD1" s="613"/>
      <c r="CE1" s="613"/>
      <c r="CF1" s="613"/>
      <c r="CG1" s="613"/>
      <c r="CH1" s="613"/>
      <c r="CI1" s="579" t="s">
        <v>200</v>
      </c>
      <c r="CJ1" s="214"/>
      <c r="CK1" s="214"/>
      <c r="CL1" s="215"/>
      <c r="CM1" s="580" t="s">
        <v>203</v>
      </c>
      <c r="CN1" s="581"/>
      <c r="CO1" s="582"/>
      <c r="CP1" s="579" t="s">
        <v>200</v>
      </c>
      <c r="CQ1" s="579"/>
      <c r="CR1" s="579"/>
      <c r="CS1" s="579"/>
      <c r="CV1" s="9"/>
      <c r="CW1" s="583" t="s">
        <v>281</v>
      </c>
      <c r="CX1" s="584"/>
      <c r="CY1" s="584"/>
      <c r="CZ1" s="584"/>
      <c r="DA1" s="584"/>
      <c r="DB1" s="585"/>
      <c r="DC1" s="579" t="s">
        <v>200</v>
      </c>
      <c r="DD1" s="579"/>
      <c r="DE1" s="579"/>
      <c r="DF1" s="579"/>
      <c r="DI1" s="9"/>
      <c r="DJ1" s="583" t="s">
        <v>196</v>
      </c>
      <c r="DK1" s="584"/>
      <c r="DL1" s="584"/>
      <c r="DM1" s="584"/>
      <c r="DN1" s="584"/>
      <c r="DO1" s="584"/>
      <c r="DP1" s="584"/>
      <c r="DQ1" s="585"/>
      <c r="DR1" s="579" t="s">
        <v>200</v>
      </c>
      <c r="DS1" s="579"/>
      <c r="DT1" s="579"/>
      <c r="DU1" s="579"/>
      <c r="DX1" s="9"/>
      <c r="DY1" s="610" t="s">
        <v>246</v>
      </c>
      <c r="DZ1" s="611"/>
      <c r="EA1" s="611"/>
      <c r="EB1" s="612"/>
      <c r="EC1" s="579" t="s">
        <v>200</v>
      </c>
      <c r="ED1" s="579"/>
      <c r="EE1" s="579"/>
      <c r="EF1" s="579"/>
      <c r="EJ1" s="9"/>
      <c r="EK1" s="610" t="s">
        <v>253</v>
      </c>
      <c r="EL1" s="612"/>
      <c r="EM1" s="579" t="s">
        <v>200</v>
      </c>
      <c r="EN1" s="579"/>
      <c r="EO1" s="579"/>
      <c r="EP1" s="579"/>
    </row>
    <row r="2" spans="1:146" s="183" customFormat="1" ht="45.75" thickBot="1" x14ac:dyDescent="0.3">
      <c r="A2" s="598" t="s">
        <v>331</v>
      </c>
      <c r="B2" s="599"/>
      <c r="C2" s="599"/>
      <c r="D2" s="599"/>
      <c r="E2" s="599"/>
      <c r="F2" s="600"/>
      <c r="G2" s="164"/>
      <c r="H2" s="165"/>
      <c r="I2" s="490" t="s">
        <v>249</v>
      </c>
      <c r="J2" s="491" t="s">
        <v>332</v>
      </c>
      <c r="K2" s="492" t="s">
        <v>333</v>
      </c>
      <c r="L2" s="592"/>
      <c r="M2" s="164"/>
      <c r="N2" s="164"/>
      <c r="O2" s="166"/>
      <c r="P2" s="163" t="s">
        <v>188</v>
      </c>
      <c r="Q2" s="167" t="s">
        <v>109</v>
      </c>
      <c r="R2" s="167" t="s">
        <v>412</v>
      </c>
      <c r="S2" s="167" t="s">
        <v>107</v>
      </c>
      <c r="T2" s="167" t="s">
        <v>413</v>
      </c>
      <c r="U2" s="167" t="s">
        <v>282</v>
      </c>
      <c r="V2" s="168" t="s">
        <v>285</v>
      </c>
      <c r="W2" s="169" t="s">
        <v>185</v>
      </c>
      <c r="X2" s="170" t="s">
        <v>108</v>
      </c>
      <c r="Y2" s="171" t="s">
        <v>414</v>
      </c>
      <c r="Z2" s="170" t="s">
        <v>350</v>
      </c>
      <c r="AA2" s="170" t="s">
        <v>412</v>
      </c>
      <c r="AB2" s="170" t="s">
        <v>287</v>
      </c>
      <c r="AC2" s="170" t="s">
        <v>185</v>
      </c>
      <c r="AD2" s="170" t="s">
        <v>108</v>
      </c>
      <c r="AE2" s="170" t="s">
        <v>414</v>
      </c>
      <c r="AF2" s="171" t="s">
        <v>137</v>
      </c>
      <c r="AG2" s="579"/>
      <c r="AH2" s="579"/>
      <c r="AI2" s="579"/>
      <c r="AJ2" s="579"/>
      <c r="AK2" s="166"/>
      <c r="AL2" s="164"/>
      <c r="AM2" s="166"/>
      <c r="AN2" s="601" t="s">
        <v>278</v>
      </c>
      <c r="AO2" s="602"/>
      <c r="AP2" s="602"/>
      <c r="AQ2" s="603"/>
      <c r="AR2" s="517"/>
      <c r="AS2" s="604"/>
      <c r="AT2" s="605"/>
      <c r="AU2" s="606"/>
      <c r="AV2" s="604"/>
      <c r="AW2" s="606"/>
      <c r="AX2" s="604"/>
      <c r="AY2" s="606"/>
      <c r="AZ2" s="604"/>
      <c r="BA2" s="605"/>
      <c r="BB2" s="607" t="s">
        <v>187</v>
      </c>
      <c r="BC2" s="608"/>
      <c r="BD2" s="608"/>
      <c r="BE2" s="608"/>
      <c r="BF2" s="609"/>
      <c r="BG2" s="579"/>
      <c r="BH2" s="579"/>
      <c r="BI2" s="579"/>
      <c r="BJ2" s="579"/>
      <c r="BK2" s="173"/>
      <c r="BL2" s="173"/>
      <c r="BM2" s="166"/>
      <c r="BN2" s="494" t="s">
        <v>345</v>
      </c>
      <c r="BO2" s="495">
        <f>MIN(AP6:AP55)</f>
        <v>0</v>
      </c>
      <c r="BP2" s="496" t="s">
        <v>346</v>
      </c>
      <c r="BQ2" s="495">
        <f>MAX(AR2:BB2)</f>
        <v>0</v>
      </c>
      <c r="BR2" s="177"/>
      <c r="BS2" s="177"/>
      <c r="BT2" s="177"/>
      <c r="BU2" s="177"/>
      <c r="BV2" s="166"/>
      <c r="BW2" s="166"/>
      <c r="BX2" s="166"/>
      <c r="BY2" s="166"/>
      <c r="BZ2" s="166"/>
      <c r="CA2" s="166"/>
      <c r="CB2" s="166"/>
      <c r="CC2" s="166"/>
      <c r="CD2" s="166"/>
      <c r="CE2" s="166"/>
      <c r="CF2" s="166"/>
      <c r="CG2" s="166"/>
      <c r="CH2" s="166"/>
      <c r="CI2" s="579"/>
      <c r="CJ2" s="178"/>
      <c r="CK2" s="178"/>
      <c r="CL2" s="179"/>
      <c r="CM2" s="180" t="s">
        <v>220</v>
      </c>
      <c r="CN2" s="181" t="s">
        <v>296</v>
      </c>
      <c r="CO2" s="182" t="s">
        <v>329</v>
      </c>
      <c r="CP2" s="579"/>
      <c r="CQ2" s="579"/>
      <c r="CR2" s="579"/>
      <c r="CS2" s="579"/>
      <c r="CV2" s="166"/>
      <c r="CW2" s="184" t="s">
        <v>304</v>
      </c>
      <c r="CX2" s="185" t="s">
        <v>305</v>
      </c>
      <c r="CY2" s="185" t="s">
        <v>415</v>
      </c>
      <c r="CZ2" s="185" t="s">
        <v>310</v>
      </c>
      <c r="DA2" s="185" t="s">
        <v>416</v>
      </c>
      <c r="DB2" s="186" t="s">
        <v>197</v>
      </c>
      <c r="DC2" s="579"/>
      <c r="DD2" s="579"/>
      <c r="DE2" s="579"/>
      <c r="DF2" s="579"/>
      <c r="DI2" s="166"/>
      <c r="DJ2" s="184" t="s">
        <v>195</v>
      </c>
      <c r="DK2" s="185" t="s">
        <v>348</v>
      </c>
      <c r="DL2" s="185" t="s">
        <v>349</v>
      </c>
      <c r="DM2" s="185" t="s">
        <v>322</v>
      </c>
      <c r="DN2" s="185" t="s">
        <v>321</v>
      </c>
      <c r="DO2" s="190" t="s">
        <v>417</v>
      </c>
      <c r="DP2" s="185" t="s">
        <v>199</v>
      </c>
      <c r="DQ2" s="186" t="s">
        <v>197</v>
      </c>
      <c r="DR2" s="579"/>
      <c r="DS2" s="579"/>
      <c r="DT2" s="579"/>
      <c r="DU2" s="579"/>
      <c r="DX2" s="166"/>
      <c r="DY2" s="163" t="s">
        <v>249</v>
      </c>
      <c r="DZ2" s="167" t="s">
        <v>110</v>
      </c>
      <c r="EA2" s="167"/>
      <c r="EB2" s="187"/>
      <c r="EC2" s="579"/>
      <c r="ED2" s="579"/>
      <c r="EE2" s="579"/>
      <c r="EF2" s="579"/>
      <c r="EJ2" s="166"/>
      <c r="EK2" s="188" t="s">
        <v>249</v>
      </c>
      <c r="EL2" s="189" t="s">
        <v>258</v>
      </c>
      <c r="EM2" s="579"/>
      <c r="EN2" s="579"/>
      <c r="EO2" s="579"/>
      <c r="EP2" s="579"/>
    </row>
    <row r="3" spans="1:146" ht="18.95" hidden="1" customHeight="1" x14ac:dyDescent="0.25">
      <c r="A3" s="614"/>
      <c r="B3" s="615"/>
      <c r="C3" s="615"/>
      <c r="D3" s="615"/>
      <c r="E3" s="615"/>
      <c r="F3" s="616"/>
      <c r="G3" s="209"/>
      <c r="H3" s="210"/>
      <c r="I3" s="220"/>
      <c r="J3" s="210"/>
      <c r="K3" s="221"/>
      <c r="L3" s="210"/>
      <c r="M3" s="209"/>
      <c r="N3" s="209"/>
      <c r="O3" s="9"/>
      <c r="P3" s="222"/>
      <c r="Q3" s="223"/>
      <c r="R3" s="223"/>
      <c r="S3" s="223"/>
      <c r="T3" s="223"/>
      <c r="U3" s="223"/>
      <c r="V3" s="224"/>
      <c r="W3" s="225"/>
      <c r="X3" s="226"/>
      <c r="Y3" s="227"/>
      <c r="Z3" s="226"/>
      <c r="AA3" s="226"/>
      <c r="AB3" s="226"/>
      <c r="AC3" s="226"/>
      <c r="AD3" s="226"/>
      <c r="AE3" s="226"/>
      <c r="AF3" s="226"/>
      <c r="AG3" s="212"/>
      <c r="AH3" s="212"/>
      <c r="AI3" s="212"/>
      <c r="AJ3" s="212"/>
      <c r="AK3" s="9"/>
      <c r="AL3" s="209"/>
      <c r="AM3" s="9"/>
      <c r="AN3" s="228"/>
      <c r="AO3" s="229" t="s">
        <v>347</v>
      </c>
      <c r="AP3" s="229"/>
      <c r="AQ3" s="229"/>
      <c r="AR3" s="230">
        <v>1</v>
      </c>
      <c r="AS3" s="230">
        <v>2</v>
      </c>
      <c r="AT3" s="231"/>
      <c r="AU3" s="232"/>
      <c r="AV3" s="230">
        <v>3</v>
      </c>
      <c r="AW3" s="232"/>
      <c r="AX3" s="230">
        <v>4</v>
      </c>
      <c r="AY3" s="232"/>
      <c r="AZ3" s="230">
        <v>5</v>
      </c>
      <c r="BA3" s="231"/>
      <c r="BB3" s="233"/>
      <c r="BC3" s="509"/>
      <c r="BD3" s="234"/>
      <c r="BE3" s="234"/>
      <c r="BF3" s="235"/>
      <c r="BG3" s="212"/>
      <c r="BH3" s="212"/>
      <c r="BI3" s="212"/>
      <c r="BJ3" s="212"/>
      <c r="BM3" s="9"/>
      <c r="BN3" s="9"/>
      <c r="BO3" s="9"/>
      <c r="BP3" s="9"/>
      <c r="BQ3" s="9"/>
      <c r="BR3" s="9"/>
      <c r="BS3" s="9"/>
      <c r="BT3" s="9"/>
      <c r="BU3" s="9"/>
      <c r="BV3" s="9"/>
      <c r="BW3" s="9"/>
      <c r="BX3" s="9"/>
      <c r="BY3" s="9"/>
      <c r="BZ3" s="9"/>
      <c r="CA3" s="9"/>
      <c r="CB3" s="9"/>
      <c r="CC3" s="9"/>
      <c r="CD3" s="9"/>
      <c r="CE3" s="9"/>
      <c r="CF3" s="9"/>
      <c r="CG3" s="9"/>
      <c r="CH3" s="9"/>
      <c r="CI3" s="9"/>
      <c r="CL3" s="9"/>
      <c r="CM3" s="236"/>
      <c r="CN3" s="237"/>
      <c r="CO3" s="238"/>
      <c r="CP3" s="212"/>
      <c r="CQ3" s="212"/>
      <c r="CR3" s="212"/>
      <c r="CS3" s="212"/>
      <c r="CV3" s="9"/>
      <c r="CW3" s="239"/>
      <c r="CX3" s="12"/>
      <c r="CY3" s="12"/>
      <c r="CZ3" s="12"/>
      <c r="DA3" s="12"/>
      <c r="DB3" s="240"/>
      <c r="DC3" s="212"/>
      <c r="DD3" s="212"/>
      <c r="DE3" s="212"/>
      <c r="DF3" s="212"/>
      <c r="DI3" s="9"/>
      <c r="DJ3" s="239"/>
      <c r="DK3" s="12"/>
      <c r="DL3" s="12"/>
      <c r="DM3" s="12"/>
      <c r="DN3" s="12"/>
      <c r="DO3" s="12"/>
      <c r="DP3" s="12"/>
      <c r="DQ3" s="240"/>
      <c r="DR3" s="212"/>
      <c r="DS3" s="212"/>
      <c r="DT3" s="212"/>
      <c r="DU3" s="212"/>
      <c r="DX3" s="9"/>
      <c r="DY3" s="222"/>
      <c r="DZ3" s="223"/>
      <c r="EA3" s="223"/>
      <c r="EB3" s="241"/>
      <c r="EC3" s="212"/>
      <c r="ED3" s="212"/>
      <c r="EE3" s="212"/>
      <c r="EF3" s="212"/>
      <c r="EJ3" s="9"/>
      <c r="EK3" s="242"/>
      <c r="EL3" s="243"/>
      <c r="EM3" s="212"/>
      <c r="EN3" s="212"/>
      <c r="EO3" s="212"/>
      <c r="EP3" s="212"/>
    </row>
    <row r="4" spans="1:146" ht="21" hidden="1" customHeight="1" thickBot="1" x14ac:dyDescent="0.3">
      <c r="A4" s="217"/>
      <c r="B4" s="218"/>
      <c r="C4" s="218"/>
      <c r="D4" s="218"/>
      <c r="E4" s="218"/>
      <c r="F4" s="219"/>
      <c r="G4" s="244"/>
      <c r="H4" s="245"/>
      <c r="I4" s="246"/>
      <c r="J4" s="247"/>
      <c r="K4" s="248"/>
      <c r="L4" s="245"/>
      <c r="M4" s="244"/>
      <c r="N4" s="244"/>
      <c r="O4" s="9"/>
      <c r="P4" s="222"/>
      <c r="R4" s="223"/>
      <c r="S4" s="223"/>
      <c r="T4" s="223"/>
      <c r="U4" s="223"/>
      <c r="V4" s="224"/>
      <c r="W4" s="225"/>
      <c r="X4" s="226"/>
      <c r="Y4" s="227"/>
      <c r="Z4" s="226"/>
      <c r="AA4" s="226"/>
      <c r="AB4" s="226"/>
      <c r="AC4" s="226"/>
      <c r="AD4" s="226"/>
      <c r="AE4" s="226"/>
      <c r="AF4" s="226"/>
      <c r="AG4" s="212"/>
      <c r="AH4" s="212"/>
      <c r="AI4" s="212"/>
      <c r="AJ4" s="212"/>
      <c r="AK4" s="9"/>
      <c r="AL4" s="244"/>
      <c r="AM4" s="9"/>
      <c r="AN4" s="228"/>
      <c r="AO4" s="249" t="str">
        <f>V15</f>
        <v>-</v>
      </c>
      <c r="AP4" s="250" t="e">
        <f>AVERAGE(AP6:AP55)</f>
        <v>#DIV/0!</v>
      </c>
      <c r="AQ4" s="229"/>
      <c r="AR4" s="251"/>
      <c r="AS4" s="252"/>
      <c r="AT4" s="234"/>
      <c r="AU4" s="232">
        <f>IF(ISBLANK(AS2),0,DAYS360($AR$2,AS2,FALSE))</f>
        <v>0</v>
      </c>
      <c r="AV4" s="252"/>
      <c r="AW4" s="232">
        <f>IF(ISBLANK(AV2),0,DAYS360(AS2,AV2,FALSE))</f>
        <v>0</v>
      </c>
      <c r="AX4" s="252"/>
      <c r="AY4" s="232">
        <f>IF(ISBLANK(AX2),0,DAYS360(AV2,AX2,FALSE))</f>
        <v>0</v>
      </c>
      <c r="AZ4" s="252"/>
      <c r="BA4" s="253">
        <f>DAYS360(MAX(AR2,AS2,AV2,AX2),AZ2,FALSE)</f>
        <v>0</v>
      </c>
      <c r="BB4" s="233">
        <f>IF(ISBLANK(AZ2),0,DAYS360($AR$2,AZ2,FALSE))</f>
        <v>0</v>
      </c>
      <c r="BC4" s="510"/>
      <c r="BD4" s="234"/>
      <c r="BE4" s="234"/>
      <c r="BF4" s="235"/>
      <c r="BG4" s="9"/>
      <c r="BH4" s="9"/>
      <c r="BI4" s="9"/>
      <c r="BJ4" s="9"/>
      <c r="BM4" s="9"/>
      <c r="BN4" s="9"/>
      <c r="BO4" s="9"/>
      <c r="BP4" s="9"/>
      <c r="BQ4" s="9"/>
      <c r="BR4" s="9"/>
      <c r="BS4" s="9"/>
      <c r="BT4" s="9"/>
      <c r="BU4" s="9"/>
      <c r="BV4" s="9"/>
      <c r="BW4" s="9"/>
      <c r="BX4" s="9"/>
      <c r="BY4" s="9"/>
      <c r="BZ4" s="9"/>
      <c r="CA4" s="9"/>
      <c r="CB4" s="9"/>
      <c r="CC4" s="9"/>
      <c r="CD4" s="9"/>
      <c r="CE4" s="9"/>
      <c r="CF4" s="9"/>
      <c r="CG4" s="9"/>
      <c r="CH4" s="9"/>
      <c r="CI4" s="9"/>
      <c r="CL4" s="9"/>
      <c r="CM4" s="254" t="s">
        <v>223</v>
      </c>
      <c r="CN4" s="255"/>
      <c r="CO4" s="256">
        <v>6.75</v>
      </c>
      <c r="CP4" s="212"/>
      <c r="CQ4" s="212"/>
      <c r="CR4" s="212"/>
      <c r="CS4" s="212"/>
      <c r="CV4" s="9"/>
      <c r="CW4" s="239"/>
      <c r="CX4" s="12"/>
      <c r="CY4" s="12"/>
      <c r="CZ4" s="12"/>
      <c r="DA4" s="12"/>
      <c r="DB4" s="240"/>
      <c r="DC4" s="212"/>
      <c r="DD4" s="212"/>
      <c r="DE4" s="212"/>
      <c r="DF4" s="212"/>
      <c r="DI4" s="9"/>
      <c r="DJ4" s="239"/>
      <c r="DK4" s="12"/>
      <c r="DL4" s="12"/>
      <c r="DM4" s="12"/>
      <c r="DN4" s="12"/>
      <c r="DO4" s="12"/>
      <c r="DP4" s="12"/>
      <c r="DQ4" s="240"/>
      <c r="DR4" s="212"/>
      <c r="DS4" s="212"/>
      <c r="DT4" s="212"/>
      <c r="DU4" s="212"/>
      <c r="DX4" s="9"/>
      <c r="DY4" s="222"/>
      <c r="DZ4" s="223"/>
      <c r="EA4" s="223"/>
      <c r="EB4" s="241"/>
      <c r="EC4" s="212"/>
      <c r="ED4" s="212"/>
      <c r="EE4" s="212"/>
      <c r="EF4" s="212"/>
      <c r="EJ4" s="9"/>
      <c r="EK4" s="242"/>
      <c r="EL4" s="243"/>
      <c r="EM4" s="212"/>
      <c r="EN4" s="212"/>
      <c r="EO4" s="212"/>
      <c r="EP4" s="212"/>
    </row>
    <row r="5" spans="1:146" ht="31.5" x14ac:dyDescent="0.25">
      <c r="A5" s="614" t="s">
        <v>186</v>
      </c>
      <c r="B5" s="615"/>
      <c r="C5" s="615"/>
      <c r="D5" s="615"/>
      <c r="E5" s="615"/>
      <c r="F5" s="616"/>
      <c r="G5" s="244"/>
      <c r="H5" s="245"/>
      <c r="I5" s="257" t="s">
        <v>334</v>
      </c>
      <c r="J5" s="456"/>
      <c r="K5" s="258" t="s">
        <v>54</v>
      </c>
      <c r="L5" s="245"/>
      <c r="M5" s="244"/>
      <c r="N5" s="244"/>
      <c r="O5" s="259">
        <f>R5</f>
        <v>0</v>
      </c>
      <c r="P5" s="260">
        <v>1</v>
      </c>
      <c r="Q5" s="461"/>
      <c r="R5" s="261">
        <f>U5-T5+IF(ISBLANK(T5),0,1)</f>
        <v>0</v>
      </c>
      <c r="S5" s="463"/>
      <c r="T5" s="464"/>
      <c r="U5" s="465"/>
      <c r="V5" s="466"/>
      <c r="W5" s="467"/>
      <c r="X5" s="262">
        <f>IFERROR(V5/100*W5*R5,0)</f>
        <v>0</v>
      </c>
      <c r="Y5" s="263" t="str">
        <f>IFERROR(X5/R5,"-")</f>
        <v>-</v>
      </c>
      <c r="Z5" s="264">
        <v>1</v>
      </c>
      <c r="AA5" s="474"/>
      <c r="AB5" s="474"/>
      <c r="AC5" s="467"/>
      <c r="AD5" s="262">
        <f>IFERROR(AB5/100*AC5*R5,0)</f>
        <v>0</v>
      </c>
      <c r="AE5" s="265" t="str">
        <f>IFERROR(AD5/R5,"-")</f>
        <v>-</v>
      </c>
      <c r="AF5" s="266" t="str">
        <f>IFERROR(IF(AE5&lt;1,0,AE5-Y5-$CO$18),"-")</f>
        <v>-</v>
      </c>
      <c r="AG5" s="212"/>
      <c r="AH5" s="212"/>
      <c r="AI5" s="212"/>
      <c r="AJ5" s="212"/>
      <c r="AK5" s="9"/>
      <c r="AL5" s="244"/>
      <c r="AM5" s="9"/>
      <c r="AN5" s="267" t="s">
        <v>129</v>
      </c>
      <c r="AO5" s="185" t="s">
        <v>188</v>
      </c>
      <c r="AP5" s="268" t="s">
        <v>189</v>
      </c>
      <c r="AQ5" s="268" t="s">
        <v>136</v>
      </c>
      <c r="AR5" s="520" t="s">
        <v>423</v>
      </c>
      <c r="AS5" s="269" t="s">
        <v>131</v>
      </c>
      <c r="AT5" s="268" t="s">
        <v>279</v>
      </c>
      <c r="AU5" s="518" t="s">
        <v>130</v>
      </c>
      <c r="AV5" s="269" t="s">
        <v>132</v>
      </c>
      <c r="AW5" s="518" t="s">
        <v>130</v>
      </c>
      <c r="AX5" s="269" t="s">
        <v>133</v>
      </c>
      <c r="AY5" s="518" t="s">
        <v>130</v>
      </c>
      <c r="AZ5" s="269" t="s">
        <v>365</v>
      </c>
      <c r="BA5" s="519" t="s">
        <v>130</v>
      </c>
      <c r="BB5" s="271" t="s">
        <v>102</v>
      </c>
      <c r="BC5" s="511" t="s">
        <v>280</v>
      </c>
      <c r="BD5" s="190" t="s">
        <v>134</v>
      </c>
      <c r="BE5" s="190" t="s">
        <v>194</v>
      </c>
      <c r="BF5" s="272" t="s">
        <v>137</v>
      </c>
      <c r="BG5" s="9"/>
      <c r="BH5" s="9"/>
      <c r="BI5" s="9"/>
      <c r="BJ5" s="9"/>
      <c r="BM5" s="9"/>
      <c r="BN5" s="617" t="s">
        <v>219</v>
      </c>
      <c r="BO5" s="618"/>
      <c r="BP5" s="618"/>
      <c r="BQ5" s="618"/>
      <c r="BR5" s="618"/>
      <c r="BS5" s="618"/>
      <c r="BT5" s="618"/>
      <c r="BU5" s="618"/>
      <c r="BV5" s="618"/>
      <c r="BW5" s="618"/>
      <c r="BX5" s="618"/>
      <c r="BY5" s="619"/>
      <c r="BZ5" s="9"/>
      <c r="CA5" s="273" t="str">
        <f>IF(BN7=$BN$17,"-",BN7)</f>
        <v>-</v>
      </c>
      <c r="CB5" s="54" t="s">
        <v>328</v>
      </c>
      <c r="CC5" s="54" t="s">
        <v>205</v>
      </c>
      <c r="CD5" s="54" t="s">
        <v>95</v>
      </c>
      <c r="CE5" s="54" t="s">
        <v>326</v>
      </c>
      <c r="CF5" s="54" t="s">
        <v>206</v>
      </c>
      <c r="CG5" s="54" t="s">
        <v>234</v>
      </c>
      <c r="CH5" s="274" t="s">
        <v>209</v>
      </c>
      <c r="CI5" s="9"/>
      <c r="CL5" s="9"/>
      <c r="CM5" s="254" t="str">
        <f>CA5</f>
        <v>-</v>
      </c>
      <c r="CN5" s="275">
        <f>BQ7</f>
        <v>0</v>
      </c>
      <c r="CO5" s="276">
        <f>CG13</f>
        <v>0</v>
      </c>
      <c r="CP5" s="277">
        <f>CE13</f>
        <v>0</v>
      </c>
      <c r="CQ5" s="277">
        <f>IFERROR(CH14,0)</f>
        <v>0</v>
      </c>
      <c r="CR5" s="212"/>
      <c r="CS5" s="212"/>
      <c r="CV5" s="9"/>
      <c r="CW5" s="484"/>
      <c r="CX5" s="485"/>
      <c r="CY5" s="487"/>
      <c r="CZ5" s="487"/>
      <c r="DA5" s="485"/>
      <c r="DB5" s="278">
        <f>DA5*CY5</f>
        <v>0</v>
      </c>
      <c r="DC5" s="212"/>
      <c r="DD5" s="212"/>
      <c r="DE5" s="212"/>
      <c r="DF5" s="212"/>
      <c r="DI5" s="9"/>
      <c r="DJ5" s="484"/>
      <c r="DK5" s="489"/>
      <c r="DL5" s="9" t="str">
        <f t="shared" ref="DL5:DL29" si="0">IFERROR(VLOOKUP(DJ5,$AN$6:$AQ$55,4,FALSE),"-")</f>
        <v>-</v>
      </c>
      <c r="DM5" s="485"/>
      <c r="DN5" s="485"/>
      <c r="DO5" s="279" t="str">
        <f>IFERROR(VLOOKUP(DN5,$CW$5:$DA$18,3,FALSE),"")</f>
        <v/>
      </c>
      <c r="DP5" s="485"/>
      <c r="DQ5" s="278" t="str">
        <f>IFERROR(DP5*DO5,"")</f>
        <v/>
      </c>
      <c r="DR5" s="212"/>
      <c r="DS5" s="280">
        <f>AR2</f>
        <v>0</v>
      </c>
      <c r="DT5" s="212"/>
      <c r="DU5" s="212"/>
      <c r="DX5" s="9"/>
      <c r="DY5" s="620" t="s">
        <v>247</v>
      </c>
      <c r="DZ5" s="621"/>
      <c r="EA5" s="621"/>
      <c r="EB5" s="622"/>
      <c r="EC5" s="212"/>
      <c r="ED5" s="212"/>
      <c r="EE5" s="212"/>
      <c r="EF5" s="212"/>
      <c r="EJ5" s="9"/>
      <c r="EK5" s="281" t="s">
        <v>269</v>
      </c>
      <c r="EL5" s="282" t="str">
        <f>IFERROR(EL6*R15,"-")</f>
        <v>-</v>
      </c>
      <c r="EM5" s="212"/>
      <c r="EN5" s="212"/>
      <c r="EO5" s="212"/>
      <c r="EP5" s="212"/>
    </row>
    <row r="6" spans="1:146" ht="30" x14ac:dyDescent="0.25">
      <c r="A6" s="614" t="s">
        <v>284</v>
      </c>
      <c r="B6" s="615"/>
      <c r="C6" s="615"/>
      <c r="D6" s="615"/>
      <c r="E6" s="615"/>
      <c r="F6" s="616"/>
      <c r="G6" s="283"/>
      <c r="H6" s="284"/>
      <c r="I6" s="285" t="s">
        <v>335</v>
      </c>
      <c r="J6" s="456"/>
      <c r="K6" s="286" t="s">
        <v>46</v>
      </c>
      <c r="L6" s="284"/>
      <c r="M6" s="283"/>
      <c r="N6" s="283"/>
      <c r="O6" s="259">
        <f>R5+R6</f>
        <v>0</v>
      </c>
      <c r="P6" s="260">
        <v>2</v>
      </c>
      <c r="Q6" s="461"/>
      <c r="R6" s="287">
        <f t="shared" ref="R6:R14" si="1">U6-T6+IF(ISBLANK(T6),0,1)</f>
        <v>0</v>
      </c>
      <c r="S6" s="467"/>
      <c r="T6" s="464"/>
      <c r="U6" s="465"/>
      <c r="V6" s="466"/>
      <c r="W6" s="467"/>
      <c r="X6" s="262">
        <f t="shared" ref="X6:X14" si="2">IFERROR(V6/100*W6*R6,0)</f>
        <v>0</v>
      </c>
      <c r="Y6" s="263" t="str">
        <f t="shared" ref="Y6:Y14" si="3">IFERROR(X6/R6,"-")</f>
        <v>-</v>
      </c>
      <c r="Z6" s="264">
        <v>2</v>
      </c>
      <c r="AA6" s="474"/>
      <c r="AB6" s="474"/>
      <c r="AC6" s="467"/>
      <c r="AD6" s="262">
        <f t="shared" ref="AD6:AD14" si="4">IFERROR(AB6/100*AC6*R6,0)</f>
        <v>0</v>
      </c>
      <c r="AE6" s="265" t="str">
        <f t="shared" ref="AE6:AE14" si="5">IFERROR(AD6/R6,"-")</f>
        <v>-</v>
      </c>
      <c r="AF6" s="266" t="str">
        <f t="shared" ref="AF6:AF14" si="6">IFERROR(IF(AE6&lt;1,0,AE6-Y6-$CO$18),"-")</f>
        <v>-</v>
      </c>
      <c r="AG6" s="9"/>
      <c r="AH6" s="9"/>
      <c r="AI6" s="9"/>
      <c r="AJ6" s="9"/>
      <c r="AK6" s="9"/>
      <c r="AL6" s="283"/>
      <c r="AM6" s="259">
        <v>1</v>
      </c>
      <c r="AN6" s="288">
        <f>T5</f>
        <v>0</v>
      </c>
      <c r="AO6" s="9" t="str">
        <f>IF(AM6&lt;=$O$5,$P$5,IF(AM6&lt;=$O$6,$P$6,IF(AM6&lt;=$O$7,$P$7,IF(AM6&lt;=$O$8,$P$8,IF(AM6&lt;=$O$9,$P$9,IF(AM6&lt;=$O$10,$P$10,IF(AM6&lt;=$O$11,$P$11,IF(AM6&lt;=$O$12,$P$12,IF(AM6&lt;=$O13,$P13,IF(AM6&lt;=$O$14,$P$14,"-"))))))))))</f>
        <v>-</v>
      </c>
      <c r="AP6" s="289" t="str">
        <f>IFERROR(VLOOKUP(AO6,$P$5:$Q$14,2,FALSE),"-")</f>
        <v>-</v>
      </c>
      <c r="AQ6" s="9" t="str">
        <f>IFERROR(VLOOKUP(AO6,$P$5:$S$14,4,FALSE),"-")</f>
        <v>-</v>
      </c>
      <c r="AR6" s="453"/>
      <c r="AS6" s="453"/>
      <c r="AT6" s="229" t="str">
        <f>IFERROR($AS$2-AP6,"-")</f>
        <v>-</v>
      </c>
      <c r="AU6" s="290" t="str">
        <f>IFERROR(IF((AS6-AR6)/AT6&lt;-3,"CHECK INPUTS",(AS6-AR6)/AT6),"N/A")</f>
        <v>N/A</v>
      </c>
      <c r="AV6" s="453"/>
      <c r="AW6" s="290" t="str">
        <f t="shared" ref="AW6:AW55" si="7">IFERROR(IF((AV6-AS6)/AW$4&lt;-3,"CHECK INPUTS",IF((AV6-AS6)/AW$4&gt;0,(AV6-AS6)/AW$4,"-")),"N/A")</f>
        <v>N/A</v>
      </c>
      <c r="AX6" s="453"/>
      <c r="AY6" s="290" t="str">
        <f>IFERROR(IF((AX6-AV6)/AY$4&lt;-3,"CHECK INPUTS",IF((AX6-AV6)/AY$4&gt;0,(AX6-AV6)/AY$4,"-")),"N/A")</f>
        <v>N/A</v>
      </c>
      <c r="AZ6" s="453"/>
      <c r="BA6" s="291" t="str">
        <f>IFERROR(IF((AZ6-AX6)/BA$4&lt;-3,"CHECK INPUTS",IF((AZ6-AX6)/BA$4&gt;0,(AZ6-AX6)/BA$4,"-")),"N/A")</f>
        <v>N/A</v>
      </c>
      <c r="BB6" s="292" t="str">
        <f>IF(ISERROR(MAX(AZ6,AX6,AV6,AS6,AR6)-AR6),"-",IF(MAX(AZ6,AX6,AV6,AS6,AR6)-AR6=0,"-",MAX(AZ6,AX6,AV6,AS6,AR6)-AR6))</f>
        <v>-</v>
      </c>
      <c r="BC6" s="512" t="str">
        <f>IFERROR(MAX($AR$2,$AS$2,$AV$2,$AX$2,$AZ$2)-AP6,"-")</f>
        <v>-</v>
      </c>
      <c r="BD6" s="293" t="str">
        <f>IFERROR(IF((MAX(AZ6,AX6,AV6,AS6,AR6)-AR6)/BC6&gt;0,(MAX(AZ6,AX6,AV6,AS6,AR6)-AR6)/BC6,"-"),"-")</f>
        <v>-</v>
      </c>
      <c r="BE6" s="293" t="str">
        <f>IF(SUMIF($DJ$5:$DJ$30,AN6,$DQ$5:$DQ$30)&gt;0,SUMIF($DJ$5:$DJ$30,AN6,$DQ$5:$DQ$30),"-")</f>
        <v>-</v>
      </c>
      <c r="BF6" s="294" t="str">
        <f>IFERROR(IF(ISBLANK(AR6),"-",IF(OR(AR6=$AR$57,AS6=$AR$57,AV6=$AR$57,AX6=$AR$57,AZ6=$AR$57),-VLOOKUP(AO6,$P$5:$Y$14,10,FALSE)-BC6*$CO$19,IF(ISBLANK(AR6),0,MAX(AZ6,AX6,AV6,AS6,AR6)*$AC$15/100-VLOOKUP(AO6,$P$5:$Y$14,10,FALSE))-BC6*$CO$19)),"-")</f>
        <v>-</v>
      </c>
      <c r="BG6" s="9"/>
      <c r="BH6" s="9"/>
      <c r="BI6" s="9"/>
      <c r="BJ6" s="9"/>
      <c r="BM6" s="9"/>
      <c r="BN6" s="504" t="s">
        <v>220</v>
      </c>
      <c r="BO6" s="505" t="s">
        <v>294</v>
      </c>
      <c r="BP6" s="505" t="s">
        <v>295</v>
      </c>
      <c r="BQ6" s="505" t="s">
        <v>296</v>
      </c>
      <c r="BR6" s="505" t="s">
        <v>297</v>
      </c>
      <c r="BS6" s="505" t="s">
        <v>298</v>
      </c>
      <c r="BT6" s="505" t="s">
        <v>299</v>
      </c>
      <c r="BU6" s="505" t="s">
        <v>300</v>
      </c>
      <c r="BV6" s="505" t="s">
        <v>221</v>
      </c>
      <c r="BW6" s="505" t="s">
        <v>228</v>
      </c>
      <c r="BX6" s="505" t="s">
        <v>229</v>
      </c>
      <c r="BY6" s="506" t="s">
        <v>231</v>
      </c>
      <c r="BZ6" s="9"/>
      <c r="CA6" s="476"/>
      <c r="CB6" s="515">
        <f>IFERROR(VLOOKUP(CA6,Feed!$B$4:$H$19,2,FALSE)*($BR$7/$BQ$7)+VLOOKUP(CA6,Feed!$B$4:$H$19,3,FALSE)*($BS$7/$BQ$7)+VLOOKUP(CA6,Feed!$B$4:$H$19,4,FALSE)*($BT$7/$BQ$7)+VLOOKUP(CA6,Feed!$B$4:$H$19,5,FALSE)*($BU$7/$BQ$7),0)</f>
        <v>0</v>
      </c>
      <c r="CC6" s="299" t="str">
        <f t="shared" ref="CC6:CC11" si="8">IFERROR(VLOOKUP($CA6,FeedIngLst,6,FALSE),"-")</f>
        <v>-</v>
      </c>
      <c r="CD6" s="299" t="str">
        <f t="shared" ref="CD6:CD11" si="9">IFERROR(VLOOKUP($CA6,FeedIngLst,7,FALSE),"-")</f>
        <v>-</v>
      </c>
      <c r="CE6" s="482"/>
      <c r="CF6" s="299" t="str">
        <f>IFERROR(CE6/$CE$13,"-")</f>
        <v>-</v>
      </c>
      <c r="CG6" s="300">
        <f t="shared" ref="CG6:CG13" si="10">CE6*$R$15*$BQ$7/2000</f>
        <v>0</v>
      </c>
      <c r="CH6" s="301" t="str">
        <f t="shared" ref="CH6:CH12" si="11">IFERROR($CB6/$CC6/(1-$CD6),"-")</f>
        <v>-</v>
      </c>
      <c r="CI6" s="9"/>
      <c r="CL6" s="9"/>
      <c r="CM6" s="254" t="str">
        <f>CA16</f>
        <v>-</v>
      </c>
      <c r="CN6" s="275">
        <f t="shared" ref="CN6:CN9" si="12">BQ8</f>
        <v>0</v>
      </c>
      <c r="CO6" s="276">
        <f>CG24</f>
        <v>0</v>
      </c>
      <c r="CP6" s="277">
        <f>CE24</f>
        <v>0</v>
      </c>
      <c r="CQ6" s="302">
        <f>IFERROR(CH25,0)</f>
        <v>0</v>
      </c>
      <c r="CR6" s="9"/>
      <c r="CS6" s="9"/>
      <c r="CV6" s="9"/>
      <c r="CW6" s="484"/>
      <c r="CX6" s="485"/>
      <c r="CY6" s="487"/>
      <c r="CZ6" s="487"/>
      <c r="DA6" s="485"/>
      <c r="DB6" s="278">
        <f t="shared" ref="DB6:DB18" si="13">DA6*CY6</f>
        <v>0</v>
      </c>
      <c r="DC6" s="9"/>
      <c r="DD6" s="259" t="s">
        <v>307</v>
      </c>
      <c r="DE6" s="9"/>
      <c r="DF6" s="9"/>
      <c r="DI6" s="9"/>
      <c r="DJ6" s="484"/>
      <c r="DK6" s="489"/>
      <c r="DL6" s="9" t="str">
        <f t="shared" si="0"/>
        <v>-</v>
      </c>
      <c r="DM6" s="485"/>
      <c r="DN6" s="485"/>
      <c r="DO6" s="279" t="str">
        <f t="shared" ref="DO6:DO29" si="14">IFERROR(VLOOKUP(DN6,$CW$5:$DA$18,3,FALSE),"")</f>
        <v/>
      </c>
      <c r="DP6" s="485"/>
      <c r="DQ6" s="278" t="str">
        <f t="shared" ref="DQ6:DQ29" si="15">IFERROR(DP6*DO6,"")</f>
        <v/>
      </c>
      <c r="DR6" s="9"/>
      <c r="DS6" s="303">
        <f>AS2</f>
        <v>0</v>
      </c>
      <c r="DT6" s="9"/>
      <c r="DU6" s="9"/>
      <c r="DX6" s="9"/>
      <c r="DY6" s="304" t="s">
        <v>248</v>
      </c>
      <c r="DZ6" s="305" t="str">
        <f>ROUND(MAX(AZ56,AX56,AV56,AS56,AR56),0)&amp; " pounds at $"&amp;ROUND(AC15,0)&amp;" per CWT"</f>
        <v>0 pounds at $0 per CWT</v>
      </c>
      <c r="EA6" s="306"/>
      <c r="EB6" s="307" t="str">
        <f>IFERROR(AB15*AC15/100,"-")</f>
        <v>-</v>
      </c>
      <c r="EC6" s="9"/>
      <c r="ED6" s="9"/>
      <c r="EE6" s="9"/>
      <c r="EF6" s="9"/>
      <c r="EJ6" s="9"/>
      <c r="EK6" s="281" t="s">
        <v>270</v>
      </c>
      <c r="EL6" s="282" t="str">
        <f>IFERROR(EB6-EB12-EB14,"-")</f>
        <v>-</v>
      </c>
      <c r="EM6" s="308"/>
      <c r="EN6" s="309"/>
      <c r="EO6" s="9"/>
      <c r="EP6" s="9"/>
    </row>
    <row r="7" spans="1:146" ht="18.95" customHeight="1" x14ac:dyDescent="0.25">
      <c r="A7" s="614" t="s">
        <v>340</v>
      </c>
      <c r="B7" s="615"/>
      <c r="C7" s="615"/>
      <c r="D7" s="615"/>
      <c r="E7" s="615"/>
      <c r="F7" s="616"/>
      <c r="G7" s="283"/>
      <c r="H7" s="284"/>
      <c r="I7" s="285" t="s">
        <v>2</v>
      </c>
      <c r="J7" s="456"/>
      <c r="K7" s="286" t="s">
        <v>337</v>
      </c>
      <c r="L7" s="284"/>
      <c r="M7" s="283"/>
      <c r="N7" s="283"/>
      <c r="O7" s="259">
        <f>SUM(R5:R7)</f>
        <v>0</v>
      </c>
      <c r="P7" s="260">
        <v>3</v>
      </c>
      <c r="Q7" s="461"/>
      <c r="R7" s="287">
        <f t="shared" si="1"/>
        <v>0</v>
      </c>
      <c r="S7" s="467"/>
      <c r="T7" s="464"/>
      <c r="U7" s="465"/>
      <c r="V7" s="468"/>
      <c r="W7" s="467"/>
      <c r="X7" s="262">
        <f t="shared" si="2"/>
        <v>0</v>
      </c>
      <c r="Y7" s="263" t="str">
        <f t="shared" si="3"/>
        <v>-</v>
      </c>
      <c r="Z7" s="264">
        <v>3</v>
      </c>
      <c r="AA7" s="474"/>
      <c r="AB7" s="474"/>
      <c r="AC7" s="467"/>
      <c r="AD7" s="262">
        <f t="shared" si="4"/>
        <v>0</v>
      </c>
      <c r="AE7" s="265" t="str">
        <f t="shared" si="5"/>
        <v>-</v>
      </c>
      <c r="AF7" s="266" t="str">
        <f t="shared" si="6"/>
        <v>-</v>
      </c>
      <c r="AG7" s="9"/>
      <c r="AH7" s="259" t="s">
        <v>135</v>
      </c>
      <c r="AI7" s="9"/>
      <c r="AJ7" s="9"/>
      <c r="AK7" s="9"/>
      <c r="AL7" s="283"/>
      <c r="AM7" s="259">
        <v>2</v>
      </c>
      <c r="AN7" s="310" t="str">
        <f>IFERROR(IF(SUM($T$5:$T$14)&lt;1,"-",IF(AO7=AO6,AN6+1,VLOOKUP(AO7,$P$5:$U$14,5,FALSE))),"-")</f>
        <v>-</v>
      </c>
      <c r="AO7" s="9" t="str">
        <f t="shared" ref="AO7:AO55" si="16">IF(AM7&lt;=$O$5,$P$5,IF(AM7&lt;=$O$6,$P$6,IF(AM7&lt;=$O$7,$P$7,IF(AM7&lt;=$O$8,$P$8,IF(AM7&lt;=$O$9,$P$9,IF(AM7&lt;=$O$10,$P$10,IF(AM7&lt;=$O$11,$P$11,IF(AM7&lt;=$O$12,$P$12,IF(AM7&lt;=$O15,$P15,IF(AM7&lt;=$O$14,$P$14,"-"))))))))))</f>
        <v>-</v>
      </c>
      <c r="AP7" s="289" t="str">
        <f t="shared" ref="AP7:AP55" si="17">IFERROR(VLOOKUP(AO7,$P$5:$Q$14,2,FALSE),"-")</f>
        <v>-</v>
      </c>
      <c r="AQ7" s="9" t="str">
        <f t="shared" ref="AQ7:AQ55" si="18">IFERROR(VLOOKUP(AO7,$P$5:$S$14,4,FALSE),"-")</f>
        <v>-</v>
      </c>
      <c r="AR7" s="453"/>
      <c r="AS7" s="453"/>
      <c r="AT7" s="229" t="str">
        <f t="shared" ref="AT7:AT55" si="19">IFERROR($AS$2-AP7,"-")</f>
        <v>-</v>
      </c>
      <c r="AU7" s="290" t="str">
        <f t="shared" ref="AU7:AU55" si="20">IFERROR(IF((AS7-AR7)/AT7&lt;-3,"CHECK INPUTS",(AS7-AR7)/AT7),"N/A")</f>
        <v>N/A</v>
      </c>
      <c r="AV7" s="453"/>
      <c r="AW7" s="290" t="str">
        <f t="shared" si="7"/>
        <v>N/A</v>
      </c>
      <c r="AX7" s="453"/>
      <c r="AY7" s="290" t="str">
        <f t="shared" ref="AY7:AY55" si="21">IFERROR(IF((AX7-AV7)/AY$4&lt;-3,"CHECK INPUTS",IF((AX7-AV7)/AY$4&gt;0,(AX7-AV7)/AY$4,"-")),"N/A")</f>
        <v>N/A</v>
      </c>
      <c r="AZ7" s="453"/>
      <c r="BA7" s="291" t="str">
        <f t="shared" ref="BA7:BA55" si="22">IFERROR(IF((AZ7-AX7)/BA$4&lt;-3,"CHECK INPUTS",IF((AZ7-AX7)/BA$4&gt;0,(AZ7-AX7)/BA$4,"-")),"N/A")</f>
        <v>N/A</v>
      </c>
      <c r="BB7" s="292" t="str">
        <f t="shared" ref="BB7:BB55" si="23">IF(ISERROR(MAX(AZ7,AX7,AV7,AS7,AR7)-AR7),"-",IF(MAX(AZ7,AX7,AV7,AS7,AR7)-AR7=0,"-",MAX(AZ7,AX7,AV7,AS7,AR7)-AR7))</f>
        <v>-</v>
      </c>
      <c r="BC7" s="512" t="str">
        <f t="shared" ref="BC7:BC55" si="24">IFERROR(MAX($AR$2,$AS$2,$AV$2,$AX$2,$AZ$2)-AP7,"-")</f>
        <v>-</v>
      </c>
      <c r="BD7" s="293" t="str">
        <f t="shared" ref="BD7:BD55" si="25">IFERROR(IF((MAX(AZ7,AX7,AV7,AS7,AR7)-AR7)/BC7&gt;0,(MAX(AZ7,AX7,AV7,AS7,AR7)-AR7)/BC7,"-"),"-")</f>
        <v>-</v>
      </c>
      <c r="BE7" s="293" t="str">
        <f t="shared" ref="BE7:BE55" si="26">IF(SUMIF($DJ$5:$DJ$30,AN7,$DQ$5:$DQ$30)&gt;0,SUMIF($DJ$5:$DJ$30,AN7,$DQ$5:$DQ$30),"-")</f>
        <v>-</v>
      </c>
      <c r="BF7" s="294" t="str">
        <f t="shared" ref="BF7:BF55" si="27">IFERROR(IF(ISBLANK(AR7),"-",IF(OR(AR7=$AR$57,AS7=$AR$57,AV7=$AR$57,AX7=$AR$57,AZ7=$AR$57),-VLOOKUP(AO7,$P$5:$Y$14,10,FALSE)-BC7*$CO$19,IF(ISBLANK(AR7),0,MAX(AZ7,AX7,AV7,AS7,AR7)*$AC$15/100-VLOOKUP(AO7,$P$5:$Y$14,10,FALSE))-BC7*$CO$19)),"-")</f>
        <v>-</v>
      </c>
      <c r="BG7" s="9"/>
      <c r="BH7" s="9"/>
      <c r="BI7" s="9"/>
      <c r="BJ7" s="9"/>
      <c r="BM7" s="9"/>
      <c r="BN7" s="476" t="s">
        <v>293</v>
      </c>
      <c r="BO7" s="477"/>
      <c r="BP7" s="477"/>
      <c r="BQ7" s="311">
        <f>IF($BP7-$BO7&gt;0,$BP7-$BO7,0)</f>
        <v>0</v>
      </c>
      <c r="BR7" s="312">
        <f>IF(ISBLANK(BO7),0,IF(AND(Feed!D$3&gt;$BP7,$BP7&gt;Feed!C$3),$BQ7,MAX(MIN($BP7,Feed!D$3)-$BO7,0)))</f>
        <v>0</v>
      </c>
      <c r="BS7" s="312">
        <f>IF(ISBLANK(BO7),0,IF(AND(Feed!E$3&gt;$BP7,$BP7&gt;Feed!D$3),$BQ7,MAX(MIN($BP7,Feed!E$3)-$BO7-BR7,0)))</f>
        <v>0</v>
      </c>
      <c r="BT7" s="312">
        <f>IF(AND(Feed!F$3&gt;$BP7,$BP7&gt;Feed!E$3),$BQ7,MAX(MIN($BP7,Feed!F$3)-$BO7-BS7-BR7,0))</f>
        <v>0</v>
      </c>
      <c r="BU7" s="312">
        <f>IF(AND(Feed!G$3&gt;$BP7,$BP7&gt;Feed!F$3),$BQ7,MAX(MIN($BP7,Feed!G$3)-$BO7-BT7-BT7-BS7-BR7,0))</f>
        <v>0</v>
      </c>
      <c r="BV7" s="313">
        <f>CH14</f>
        <v>0</v>
      </c>
      <c r="BW7" s="507">
        <f>CH12</f>
        <v>78.359787947924048</v>
      </c>
      <c r="BX7" s="313">
        <f>IF($BV7=0,0,$BV7-$BW7)</f>
        <v>0</v>
      </c>
      <c r="BY7" s="315" t="str">
        <f>CF12</f>
        <v>-</v>
      </c>
      <c r="BZ7" s="9"/>
      <c r="CA7" s="476"/>
      <c r="CB7" s="515">
        <f>IFERROR(VLOOKUP(CA7,Feed!$B$4:$H$19,2,FALSE)*($BR$7/$BQ$7)+VLOOKUP(CA7,Feed!$B$4:$H$19,3,FALSE)*($BS$7/$BQ$7)+VLOOKUP(CA7,Feed!$B$4:$H$19,4,FALSE)*($BT$7/$BQ$7)+VLOOKUP(CA7,Feed!$B$4:$H$19,5,FALSE)*($BU$7/$BQ$7),0)</f>
        <v>0</v>
      </c>
      <c r="CC7" s="299" t="str">
        <f t="shared" si="8"/>
        <v>-</v>
      </c>
      <c r="CD7" s="299" t="str">
        <f t="shared" si="9"/>
        <v>-</v>
      </c>
      <c r="CE7" s="482"/>
      <c r="CF7" s="299" t="str">
        <f t="shared" ref="CF7:CF12" si="28">IFERROR(CE7/$CE$13,"-")</f>
        <v>-</v>
      </c>
      <c r="CG7" s="300">
        <f t="shared" si="10"/>
        <v>0</v>
      </c>
      <c r="CH7" s="301" t="str">
        <f t="shared" si="11"/>
        <v>-</v>
      </c>
      <c r="CI7" s="9"/>
      <c r="CL7" s="9"/>
      <c r="CM7" s="254" t="str">
        <f>CA27</f>
        <v>-</v>
      </c>
      <c r="CN7" s="275">
        <f t="shared" si="12"/>
        <v>0</v>
      </c>
      <c r="CO7" s="276">
        <f>CG35</f>
        <v>0</v>
      </c>
      <c r="CP7" s="277">
        <f>CE35</f>
        <v>0</v>
      </c>
      <c r="CQ7" s="302">
        <f>IFERROR(CH36,0)</f>
        <v>0</v>
      </c>
      <c r="CR7" s="9"/>
      <c r="CS7" s="9"/>
      <c r="CV7" s="9"/>
      <c r="CW7" s="484"/>
      <c r="CX7" s="485"/>
      <c r="CY7" s="487"/>
      <c r="CZ7" s="487"/>
      <c r="DA7" s="485"/>
      <c r="DB7" s="278">
        <f t="shared" si="13"/>
        <v>0</v>
      </c>
      <c r="DC7" s="9"/>
      <c r="DD7" s="259" t="s">
        <v>308</v>
      </c>
      <c r="DE7" s="9"/>
      <c r="DF7" s="9"/>
      <c r="DI7" s="9"/>
      <c r="DJ7" s="484"/>
      <c r="DK7" s="485"/>
      <c r="DL7" s="9" t="str">
        <f t="shared" si="0"/>
        <v>-</v>
      </c>
      <c r="DM7" s="485"/>
      <c r="DN7" s="485"/>
      <c r="DO7" s="279" t="str">
        <f t="shared" si="14"/>
        <v/>
      </c>
      <c r="DP7" s="485"/>
      <c r="DQ7" s="278" t="str">
        <f t="shared" si="15"/>
        <v/>
      </c>
      <c r="DR7" s="9"/>
      <c r="DS7" s="303">
        <f>AV2</f>
        <v>0</v>
      </c>
      <c r="DT7" s="9"/>
      <c r="DU7" s="9"/>
      <c r="DX7" s="9"/>
      <c r="DY7" s="304" t="s">
        <v>245</v>
      </c>
      <c r="DZ7" s="305"/>
      <c r="EA7" s="306"/>
      <c r="EB7" s="307" t="str">
        <f>IFERROR((J5/100*AVERAGE(V15,AB15)-EB6)/R15*SUM(AS58:AZ58),"-")</f>
        <v>-</v>
      </c>
      <c r="EC7" s="9"/>
      <c r="ED7" s="9"/>
      <c r="EE7" s="9"/>
      <c r="EF7" s="9"/>
      <c r="EJ7" s="9"/>
      <c r="EK7" s="281" t="s">
        <v>271</v>
      </c>
      <c r="EL7" s="282">
        <f>IFERROR(EL6/MAX(AZ56,AX56,AV56,AS56,AR56),)</f>
        <v>0</v>
      </c>
      <c r="EM7" s="308"/>
      <c r="EN7" s="309"/>
      <c r="EO7" s="9"/>
      <c r="EP7" s="9"/>
    </row>
    <row r="8" spans="1:146" ht="18.75" x14ac:dyDescent="0.25">
      <c r="A8" s="614" t="s">
        <v>273</v>
      </c>
      <c r="B8" s="615"/>
      <c r="C8" s="615"/>
      <c r="D8" s="615"/>
      <c r="E8" s="615"/>
      <c r="F8" s="616"/>
      <c r="G8" s="283"/>
      <c r="H8" s="284"/>
      <c r="I8" s="285" t="s">
        <v>9</v>
      </c>
      <c r="J8" s="457"/>
      <c r="K8" s="286" t="s">
        <v>336</v>
      </c>
      <c r="L8" s="284"/>
      <c r="M8" s="283"/>
      <c r="N8" s="283"/>
      <c r="O8" s="259">
        <f>SUM(R5:R8)</f>
        <v>0</v>
      </c>
      <c r="P8" s="260">
        <v>4</v>
      </c>
      <c r="Q8" s="461"/>
      <c r="R8" s="287">
        <f t="shared" si="1"/>
        <v>0</v>
      </c>
      <c r="S8" s="467"/>
      <c r="T8" s="464"/>
      <c r="U8" s="465"/>
      <c r="V8" s="468"/>
      <c r="W8" s="467"/>
      <c r="X8" s="262">
        <f t="shared" si="2"/>
        <v>0</v>
      </c>
      <c r="Y8" s="263" t="str">
        <f t="shared" si="3"/>
        <v>-</v>
      </c>
      <c r="Z8" s="264">
        <v>4</v>
      </c>
      <c r="AA8" s="474"/>
      <c r="AB8" s="474"/>
      <c r="AC8" s="467"/>
      <c r="AD8" s="262">
        <f t="shared" si="4"/>
        <v>0</v>
      </c>
      <c r="AE8" s="265" t="str">
        <f t="shared" si="5"/>
        <v>-</v>
      </c>
      <c r="AF8" s="266" t="str">
        <f t="shared" si="6"/>
        <v>-</v>
      </c>
      <c r="AG8" s="9"/>
      <c r="AH8" s="259" t="s">
        <v>366</v>
      </c>
      <c r="AI8" s="9"/>
      <c r="AJ8" s="9"/>
      <c r="AK8" s="9"/>
      <c r="AL8" s="283"/>
      <c r="AM8" s="259">
        <v>3</v>
      </c>
      <c r="AN8" s="310" t="str">
        <f t="shared" ref="AN8:AN55" si="29">IFERROR(IF(SUM($T$5:$T$14)&lt;1,"-",IF(AO8=AO7,AN7+1,VLOOKUP(AO8,$P$5:$U$14,5,FALSE))),"-")</f>
        <v>-</v>
      </c>
      <c r="AO8" s="9" t="str">
        <f t="shared" si="16"/>
        <v>-</v>
      </c>
      <c r="AP8" s="289" t="str">
        <f t="shared" si="17"/>
        <v>-</v>
      </c>
      <c r="AQ8" s="9" t="str">
        <f t="shared" si="18"/>
        <v>-</v>
      </c>
      <c r="AR8" s="453"/>
      <c r="AS8" s="453"/>
      <c r="AT8" s="229" t="str">
        <f t="shared" si="19"/>
        <v>-</v>
      </c>
      <c r="AU8" s="290" t="str">
        <f t="shared" si="20"/>
        <v>N/A</v>
      </c>
      <c r="AV8" s="453"/>
      <c r="AW8" s="290" t="str">
        <f t="shared" si="7"/>
        <v>N/A</v>
      </c>
      <c r="AX8" s="453"/>
      <c r="AY8" s="290" t="str">
        <f t="shared" si="21"/>
        <v>N/A</v>
      </c>
      <c r="AZ8" s="453"/>
      <c r="BA8" s="291" t="str">
        <f t="shared" si="22"/>
        <v>N/A</v>
      </c>
      <c r="BB8" s="292" t="str">
        <f t="shared" si="23"/>
        <v>-</v>
      </c>
      <c r="BC8" s="512" t="str">
        <f t="shared" si="24"/>
        <v>-</v>
      </c>
      <c r="BD8" s="293" t="str">
        <f t="shared" si="25"/>
        <v>-</v>
      </c>
      <c r="BE8" s="293" t="str">
        <f t="shared" si="26"/>
        <v>-</v>
      </c>
      <c r="BF8" s="294" t="str">
        <f t="shared" si="27"/>
        <v>-</v>
      </c>
      <c r="BG8" s="9"/>
      <c r="BH8" s="9"/>
      <c r="BI8" s="9"/>
      <c r="BJ8" s="9"/>
      <c r="BM8" s="9"/>
      <c r="BN8" s="476" t="s">
        <v>293</v>
      </c>
      <c r="BO8" s="477"/>
      <c r="BP8" s="477"/>
      <c r="BQ8" s="311">
        <f>IF($BP8-$BO8&gt;0,$BP8-$BO8,0)</f>
        <v>0</v>
      </c>
      <c r="BR8" s="312">
        <f>IF(ISBLANK(BO8),0,IF(AND(Feed!D$3&gt;$BP8,$BP8&gt;Feed!C$3),$BQ8,MAX(MIN($BP8,Feed!D$3)-$BO8,0)))</f>
        <v>0</v>
      </c>
      <c r="BS8" s="312">
        <f>IF(ISBLANK(BO8),0,IF(AND(Feed!E$3&gt;$BP8,$BP8&gt;Feed!D$3),$BQ8,MAX(MIN($BP8,Feed!E$3)-$BO8-BR8,0)))</f>
        <v>0</v>
      </c>
      <c r="BT8" s="312">
        <f>IF(AND(Feed!F$3&gt;$BP8,$BP8&gt;Feed!E$3),$BQ8,MAX(MIN($BP8,Feed!F$3)-$BO8-BS8-BR8,0))</f>
        <v>0</v>
      </c>
      <c r="BU8" s="312">
        <f>IF(AND(Feed!G$3&gt;$BP8,$BP8&gt;Feed!F$3),$BQ8,MAX(MIN($BP8,Feed!G$3)-$BO8-BT8-BS8-BR8,0))</f>
        <v>0</v>
      </c>
      <c r="BV8" s="313">
        <f>CH25</f>
        <v>0</v>
      </c>
      <c r="BW8" s="507">
        <f>CH23</f>
        <v>78.359787947924048</v>
      </c>
      <c r="BX8" s="313">
        <f>IF($BV8=0,0,$BV8-$BW8)</f>
        <v>0</v>
      </c>
      <c r="BY8" s="315" t="str">
        <f>CF23</f>
        <v>-</v>
      </c>
      <c r="BZ8" s="9"/>
      <c r="CA8" s="476"/>
      <c r="CB8" s="515">
        <f>IFERROR(VLOOKUP(CA8,Feed!$B$4:$H$19,2,FALSE)*($BR$7/$BQ$7)+VLOOKUP(CA8,Feed!$B$4:$H$19,3,FALSE)*($BS$7/$BQ$7)+VLOOKUP(CA8,Feed!$B$4:$H$19,4,FALSE)*($BT$7/$BQ$7)+VLOOKUP(CA8,Feed!$B$4:$H$19,5,FALSE)*($BU$7/$BQ$7),0)</f>
        <v>0</v>
      </c>
      <c r="CC8" s="299" t="str">
        <f t="shared" si="8"/>
        <v>-</v>
      </c>
      <c r="CD8" s="299" t="str">
        <f t="shared" si="9"/>
        <v>-</v>
      </c>
      <c r="CE8" s="482"/>
      <c r="CF8" s="299" t="str">
        <f t="shared" si="28"/>
        <v>-</v>
      </c>
      <c r="CG8" s="300">
        <f t="shared" si="10"/>
        <v>0</v>
      </c>
      <c r="CH8" s="301" t="str">
        <f t="shared" si="11"/>
        <v>-</v>
      </c>
      <c r="CI8" s="9"/>
      <c r="CL8" s="9"/>
      <c r="CM8" s="254" t="str">
        <f>CA38</f>
        <v>-</v>
      </c>
      <c r="CN8" s="275">
        <f t="shared" si="12"/>
        <v>0</v>
      </c>
      <c r="CO8" s="276">
        <f>CG46</f>
        <v>0</v>
      </c>
      <c r="CP8" s="277">
        <f>CE46</f>
        <v>0</v>
      </c>
      <c r="CQ8" s="302">
        <f>IFERROR(CH47,0)</f>
        <v>0</v>
      </c>
      <c r="CR8" s="9"/>
      <c r="CS8" s="9"/>
      <c r="CV8" s="9"/>
      <c r="CW8" s="484"/>
      <c r="CX8" s="485"/>
      <c r="CY8" s="487"/>
      <c r="CZ8" s="487"/>
      <c r="DA8" s="485"/>
      <c r="DB8" s="278">
        <f t="shared" si="13"/>
        <v>0</v>
      </c>
      <c r="DC8" s="9"/>
      <c r="DD8" s="9"/>
      <c r="DE8" s="9"/>
      <c r="DF8" s="9"/>
      <c r="DI8" s="9"/>
      <c r="DJ8" s="484"/>
      <c r="DK8" s="485"/>
      <c r="DL8" s="9" t="str">
        <f t="shared" si="0"/>
        <v>-</v>
      </c>
      <c r="DM8" s="485"/>
      <c r="DN8" s="485"/>
      <c r="DO8" s="279" t="str">
        <f t="shared" si="14"/>
        <v/>
      </c>
      <c r="DP8" s="485"/>
      <c r="DQ8" s="278" t="str">
        <f t="shared" si="15"/>
        <v/>
      </c>
      <c r="DR8" s="9"/>
      <c r="DS8" s="303">
        <f>AX2</f>
        <v>0</v>
      </c>
      <c r="DT8" s="9"/>
      <c r="DU8" s="9"/>
      <c r="DX8" s="9"/>
      <c r="DY8" s="304" t="s">
        <v>244</v>
      </c>
      <c r="DZ8" s="306"/>
      <c r="EA8" s="306"/>
      <c r="EB8" s="307" t="str">
        <f>IFERROR(-(SUM(AS57:AZ57)*EB6)/R15,"-")</f>
        <v>-</v>
      </c>
      <c r="EC8" s="9"/>
      <c r="ED8" s="9"/>
      <c r="EE8" s="9"/>
      <c r="EF8" s="9"/>
      <c r="EJ8" s="9"/>
      <c r="EK8" s="281" t="s">
        <v>266</v>
      </c>
      <c r="EL8" s="497">
        <f>IFERROR((EB24-EB7-EB8-EB9)/MAX(AZ56,AX56,AV56,AS56,AR56),)</f>
        <v>0</v>
      </c>
      <c r="EM8" s="9"/>
      <c r="EN8" s="9"/>
      <c r="EO8" s="9"/>
      <c r="EP8" s="9"/>
    </row>
    <row r="9" spans="1:146" ht="18.95" customHeight="1" x14ac:dyDescent="0.25">
      <c r="A9" s="614" t="s">
        <v>281</v>
      </c>
      <c r="B9" s="615"/>
      <c r="C9" s="615"/>
      <c r="D9" s="615"/>
      <c r="E9" s="615"/>
      <c r="F9" s="616"/>
      <c r="G9" s="283"/>
      <c r="H9" s="284"/>
      <c r="I9" s="318" t="s">
        <v>39</v>
      </c>
      <c r="J9" s="456"/>
      <c r="K9" s="319" t="s">
        <v>55</v>
      </c>
      <c r="L9" s="284"/>
      <c r="M9" s="283"/>
      <c r="N9" s="283"/>
      <c r="O9" s="259">
        <f>SUM(R5:R9)</f>
        <v>0</v>
      </c>
      <c r="P9" s="260">
        <v>5</v>
      </c>
      <c r="Q9" s="461"/>
      <c r="R9" s="287">
        <f t="shared" si="1"/>
        <v>0</v>
      </c>
      <c r="S9" s="467"/>
      <c r="T9" s="464"/>
      <c r="U9" s="465"/>
      <c r="V9" s="468"/>
      <c r="W9" s="467"/>
      <c r="X9" s="262">
        <f t="shared" si="2"/>
        <v>0</v>
      </c>
      <c r="Y9" s="263" t="str">
        <f t="shared" si="3"/>
        <v>-</v>
      </c>
      <c r="Z9" s="264">
        <v>5</v>
      </c>
      <c r="AA9" s="474"/>
      <c r="AB9" s="474"/>
      <c r="AC9" s="467"/>
      <c r="AD9" s="262">
        <f t="shared" si="4"/>
        <v>0</v>
      </c>
      <c r="AE9" s="265" t="str">
        <f t="shared" si="5"/>
        <v>-</v>
      </c>
      <c r="AF9" s="266" t="str">
        <f t="shared" si="6"/>
        <v>-</v>
      </c>
      <c r="AG9" s="9"/>
      <c r="AH9" s="259" t="s">
        <v>367</v>
      </c>
      <c r="AI9" s="9"/>
      <c r="AJ9" s="9"/>
      <c r="AK9" s="9"/>
      <c r="AL9" s="283"/>
      <c r="AM9" s="259">
        <v>4</v>
      </c>
      <c r="AN9" s="310" t="str">
        <f t="shared" si="29"/>
        <v>-</v>
      </c>
      <c r="AO9" s="9" t="str">
        <f t="shared" si="16"/>
        <v>-</v>
      </c>
      <c r="AP9" s="289" t="str">
        <f t="shared" si="17"/>
        <v>-</v>
      </c>
      <c r="AQ9" s="9" t="str">
        <f t="shared" si="18"/>
        <v>-</v>
      </c>
      <c r="AR9" s="453"/>
      <c r="AS9" s="453"/>
      <c r="AT9" s="229" t="str">
        <f t="shared" si="19"/>
        <v>-</v>
      </c>
      <c r="AU9" s="290" t="str">
        <f t="shared" si="20"/>
        <v>N/A</v>
      </c>
      <c r="AV9" s="453"/>
      <c r="AW9" s="290" t="str">
        <f t="shared" si="7"/>
        <v>N/A</v>
      </c>
      <c r="AX9" s="453"/>
      <c r="AY9" s="290" t="str">
        <f t="shared" si="21"/>
        <v>N/A</v>
      </c>
      <c r="AZ9" s="453"/>
      <c r="BA9" s="291" t="str">
        <f t="shared" si="22"/>
        <v>N/A</v>
      </c>
      <c r="BB9" s="292" t="str">
        <f t="shared" si="23"/>
        <v>-</v>
      </c>
      <c r="BC9" s="512" t="str">
        <f t="shared" si="24"/>
        <v>-</v>
      </c>
      <c r="BD9" s="293" t="str">
        <f t="shared" si="25"/>
        <v>-</v>
      </c>
      <c r="BE9" s="293" t="str">
        <f t="shared" si="26"/>
        <v>-</v>
      </c>
      <c r="BF9" s="294" t="str">
        <f t="shared" si="27"/>
        <v>-</v>
      </c>
      <c r="BG9" s="9"/>
      <c r="BH9" s="9"/>
      <c r="BI9" s="9"/>
      <c r="BJ9" s="9"/>
      <c r="BM9" s="9"/>
      <c r="BN9" s="476" t="s">
        <v>293</v>
      </c>
      <c r="BO9" s="477"/>
      <c r="BP9" s="477"/>
      <c r="BQ9" s="311">
        <f>IF($BP9-$BO9&gt;0,$BP9-$BO9,0)</f>
        <v>0</v>
      </c>
      <c r="BR9" s="312">
        <f>IF(ISBLANK(BO9),0,IF(AND(Feed!D$3&gt;$BP9,$BP9&gt;Feed!C$3),$BQ9,MAX(MIN($BP9,Feed!D$3)-$BO9,0)))</f>
        <v>0</v>
      </c>
      <c r="BS9" s="312">
        <f>IF(ISBLANK(BO9),0,IF(AND(Feed!E$3&gt;$BP9,$BP9&gt;Feed!D$3),$BQ9,MAX(MIN($BP9,Feed!E$3)-$BO9-BR9,0)))</f>
        <v>0</v>
      </c>
      <c r="BT9" s="312">
        <f>IF(AND(Feed!F$3&gt;$BP9,$BP9&gt;Feed!E$3),$BQ9,MAX(MIN($BP9,Feed!F$3)-$BO9-BS9-BR9,0))</f>
        <v>0</v>
      </c>
      <c r="BU9" s="312">
        <f>IF(AND(Feed!G$3&gt;$BP9,$BP9&gt;Feed!F$3),$BQ9,MAX(MIN($BP9,Feed!G$3)-$BO9-BT9-BT9-BS9-BR9,0))</f>
        <v>0</v>
      </c>
      <c r="BV9" s="313">
        <f>CH36</f>
        <v>0</v>
      </c>
      <c r="BW9" s="507">
        <f>CH34</f>
        <v>78.359787947924048</v>
      </c>
      <c r="BX9" s="313">
        <f>IF($BV9=0,0,$BV9-$BW9)</f>
        <v>0</v>
      </c>
      <c r="BY9" s="315" t="str">
        <f>CF34</f>
        <v>-</v>
      </c>
      <c r="BZ9" s="9"/>
      <c r="CA9" s="476"/>
      <c r="CB9" s="515">
        <f>IFERROR(VLOOKUP(CA9,Feed!$B$4:$H$19,2,FALSE)*($BR$7/$BQ$7)+VLOOKUP(CA9,Feed!$B$4:$H$19,3,FALSE)*($BS$7/$BQ$7)+VLOOKUP(CA9,Feed!$B$4:$H$19,4,FALSE)*($BT$7/$BQ$7)+VLOOKUP(CA9,Feed!$B$4:$H$19,5,FALSE)*($BU$7/$BQ$7),0)</f>
        <v>0</v>
      </c>
      <c r="CC9" s="299" t="str">
        <f t="shared" si="8"/>
        <v>-</v>
      </c>
      <c r="CD9" s="299" t="str">
        <f t="shared" si="9"/>
        <v>-</v>
      </c>
      <c r="CE9" s="482"/>
      <c r="CF9" s="299" t="str">
        <f t="shared" si="28"/>
        <v>-</v>
      </c>
      <c r="CG9" s="300">
        <f t="shared" si="10"/>
        <v>0</v>
      </c>
      <c r="CH9" s="301" t="str">
        <f t="shared" si="11"/>
        <v>-</v>
      </c>
      <c r="CI9" s="9"/>
      <c r="CL9" s="9"/>
      <c r="CM9" s="254" t="str">
        <f>CA49</f>
        <v>-</v>
      </c>
      <c r="CN9" s="275">
        <f t="shared" si="12"/>
        <v>0</v>
      </c>
      <c r="CO9" s="276">
        <f>CG57</f>
        <v>0</v>
      </c>
      <c r="CP9" s="277">
        <f>CE57</f>
        <v>0</v>
      </c>
      <c r="CQ9" s="302">
        <f>IFERROR(CH58,0)</f>
        <v>0</v>
      </c>
      <c r="CR9" s="320"/>
      <c r="CS9" s="9"/>
      <c r="CV9" s="9"/>
      <c r="CW9" s="484"/>
      <c r="CX9" s="485"/>
      <c r="CY9" s="487"/>
      <c r="CZ9" s="487"/>
      <c r="DA9" s="485"/>
      <c r="DB9" s="278">
        <f t="shared" si="13"/>
        <v>0</v>
      </c>
      <c r="DC9" s="9"/>
      <c r="DD9" s="9"/>
      <c r="DE9" s="9"/>
      <c r="DF9" s="9"/>
      <c r="DI9" s="9"/>
      <c r="DJ9" s="484"/>
      <c r="DK9" s="485"/>
      <c r="DL9" s="9" t="str">
        <f t="shared" si="0"/>
        <v>-</v>
      </c>
      <c r="DM9" s="485"/>
      <c r="DN9" s="485"/>
      <c r="DO9" s="279" t="str">
        <f t="shared" si="14"/>
        <v/>
      </c>
      <c r="DP9" s="485"/>
      <c r="DQ9" s="278" t="str">
        <f t="shared" si="15"/>
        <v/>
      </c>
      <c r="DR9" s="9"/>
      <c r="DS9" s="303">
        <f>AZ2</f>
        <v>0</v>
      </c>
      <c r="DT9" s="9"/>
      <c r="DU9" s="9"/>
      <c r="DX9" s="9"/>
      <c r="DY9" s="304" t="s">
        <v>242</v>
      </c>
      <c r="DZ9" s="306" t="str">
        <f>J12*100&amp;"% of total sales"</f>
        <v>0% of total sales</v>
      </c>
      <c r="EA9" s="306"/>
      <c r="EB9" s="307" t="str">
        <f>IFERROR(-J12*(EB6-EB7-EB8),"-")</f>
        <v>-</v>
      </c>
      <c r="EC9" s="9"/>
      <c r="ED9" s="9"/>
      <c r="EE9" s="9"/>
      <c r="EF9" s="9"/>
      <c r="EJ9" s="9"/>
      <c r="EK9" s="281" t="s">
        <v>267</v>
      </c>
      <c r="EL9" s="498" cm="1">
        <f t="array" ref="EL9">IFERROR(SUM(EB13:EB23,-EB7:EB8)/BB56,)</f>
        <v>0</v>
      </c>
      <c r="EM9" s="9"/>
      <c r="EN9" s="9"/>
      <c r="EO9" s="320"/>
      <c r="EP9" s="9"/>
    </row>
    <row r="10" spans="1:146" ht="18.75" x14ac:dyDescent="0.25">
      <c r="A10" s="614" t="s">
        <v>263</v>
      </c>
      <c r="B10" s="615"/>
      <c r="C10" s="615"/>
      <c r="D10" s="615"/>
      <c r="E10" s="615"/>
      <c r="F10" s="616"/>
      <c r="G10" s="283"/>
      <c r="H10" s="284"/>
      <c r="I10" s="318" t="s">
        <v>276</v>
      </c>
      <c r="J10" s="456"/>
      <c r="K10" s="319" t="s">
        <v>46</v>
      </c>
      <c r="L10" s="284"/>
      <c r="M10" s="283"/>
      <c r="N10" s="283"/>
      <c r="O10" s="259">
        <f>SUM(R5:R10)</f>
        <v>0</v>
      </c>
      <c r="P10" s="260">
        <v>6</v>
      </c>
      <c r="Q10" s="461"/>
      <c r="R10" s="287">
        <f t="shared" si="1"/>
        <v>0</v>
      </c>
      <c r="S10" s="467"/>
      <c r="T10" s="464"/>
      <c r="U10" s="465"/>
      <c r="V10" s="468"/>
      <c r="W10" s="467"/>
      <c r="X10" s="262">
        <f t="shared" si="2"/>
        <v>0</v>
      </c>
      <c r="Y10" s="263" t="str">
        <f t="shared" si="3"/>
        <v>-</v>
      </c>
      <c r="Z10" s="264">
        <v>6</v>
      </c>
      <c r="AA10" s="474"/>
      <c r="AB10" s="474"/>
      <c r="AC10" s="467"/>
      <c r="AD10" s="262">
        <f t="shared" si="4"/>
        <v>0</v>
      </c>
      <c r="AE10" s="265" t="str">
        <f t="shared" si="5"/>
        <v>-</v>
      </c>
      <c r="AF10" s="266" t="str">
        <f t="shared" si="6"/>
        <v>-</v>
      </c>
      <c r="AG10" s="9"/>
      <c r="AH10" s="259" t="s">
        <v>368</v>
      </c>
      <c r="AI10" s="9"/>
      <c r="AJ10" s="9"/>
      <c r="AK10" s="9"/>
      <c r="AL10" s="283"/>
      <c r="AM10" s="259">
        <v>5</v>
      </c>
      <c r="AN10" s="310" t="str">
        <f t="shared" si="29"/>
        <v>-</v>
      </c>
      <c r="AO10" s="9" t="str">
        <f t="shared" si="16"/>
        <v>-</v>
      </c>
      <c r="AP10" s="289" t="str">
        <f t="shared" si="17"/>
        <v>-</v>
      </c>
      <c r="AQ10" s="9" t="str">
        <f t="shared" si="18"/>
        <v>-</v>
      </c>
      <c r="AR10" s="453"/>
      <c r="AS10" s="453"/>
      <c r="AT10" s="229" t="str">
        <f t="shared" si="19"/>
        <v>-</v>
      </c>
      <c r="AU10" s="290" t="str">
        <f t="shared" si="20"/>
        <v>N/A</v>
      </c>
      <c r="AV10" s="453"/>
      <c r="AW10" s="290" t="str">
        <f t="shared" si="7"/>
        <v>N/A</v>
      </c>
      <c r="AX10" s="453"/>
      <c r="AY10" s="290" t="str">
        <f t="shared" si="21"/>
        <v>N/A</v>
      </c>
      <c r="AZ10" s="453"/>
      <c r="BA10" s="291" t="str">
        <f t="shared" si="22"/>
        <v>N/A</v>
      </c>
      <c r="BB10" s="292" t="str">
        <f t="shared" si="23"/>
        <v>-</v>
      </c>
      <c r="BC10" s="512" t="str">
        <f t="shared" si="24"/>
        <v>-</v>
      </c>
      <c r="BD10" s="293" t="str">
        <f t="shared" si="25"/>
        <v>-</v>
      </c>
      <c r="BE10" s="293" t="str">
        <f t="shared" si="26"/>
        <v>-</v>
      </c>
      <c r="BF10" s="294" t="str">
        <f t="shared" si="27"/>
        <v>-</v>
      </c>
      <c r="BG10" s="9"/>
      <c r="BH10" s="9"/>
      <c r="BI10" s="9"/>
      <c r="BJ10" s="9"/>
      <c r="BM10" s="9"/>
      <c r="BN10" s="476" t="s">
        <v>293</v>
      </c>
      <c r="BO10" s="478"/>
      <c r="BP10" s="478"/>
      <c r="BQ10" s="311">
        <f>IF($BP10-$BO10&gt;0,$BP10-$BO10,0)</f>
        <v>0</v>
      </c>
      <c r="BR10" s="312">
        <f>IF(ISBLANK(BO10),0,IF(AND(Feed!D$3&gt;$BP10,$BP10&gt;Feed!C$3),$BQ10,MAX(MIN($BP10,Feed!D$3)-$BO10,0)))</f>
        <v>0</v>
      </c>
      <c r="BS10" s="312">
        <f>IF(ISBLANK(BO10),0,IF(AND(Feed!E$3&gt;$BP10,$BP10&gt;Feed!D$3),$BQ10,MAX(MIN($BP10,Feed!E$3)-$BO10-BR10,0)))</f>
        <v>0</v>
      </c>
      <c r="BT10" s="312">
        <f>IF(AND(Feed!F$3&gt;$BP10,$BP10&gt;Feed!E$3),$BQ10,MAX(MIN($BP10,Feed!F$3)-$BO10-BS10-BR10,0))</f>
        <v>0</v>
      </c>
      <c r="BU10" s="312">
        <f>IF(AND(Feed!G$3&gt;$BP10,$BP10&gt;Feed!F$3),$BQ10,MAX(MIN($BP10,Feed!G$3)-$BO10-BT10-BS10-BR10,0))</f>
        <v>0</v>
      </c>
      <c r="BV10" s="313">
        <f>CH47</f>
        <v>0</v>
      </c>
      <c r="BW10" s="507">
        <f>CH45</f>
        <v>78.359787947924048</v>
      </c>
      <c r="BX10" s="313">
        <f>IF($BV10=0,0,$BV10-$BW10)</f>
        <v>0</v>
      </c>
      <c r="BY10" s="315" t="str">
        <f>CF45</f>
        <v>-</v>
      </c>
      <c r="BZ10" s="9"/>
      <c r="CA10" s="476"/>
      <c r="CB10" s="515">
        <f>IFERROR(VLOOKUP(CA10,Feed!$B$4:$H$19,2,FALSE)*($BR$7/$BQ$7)+VLOOKUP(CA10,Feed!$B$4:$H$19,3,FALSE)*($BS$7/$BQ$7)+VLOOKUP(CA10,Feed!$B$4:$H$19,4,FALSE)*($BT$7/$BQ$7)+VLOOKUP(CA10,Feed!$B$4:$H$19,5,FALSE)*($BU$7/$BQ$7),0)</f>
        <v>0</v>
      </c>
      <c r="CC10" s="299" t="str">
        <f t="shared" si="8"/>
        <v>-</v>
      </c>
      <c r="CD10" s="299" t="str">
        <f t="shared" si="9"/>
        <v>-</v>
      </c>
      <c r="CE10" s="482"/>
      <c r="CF10" s="299" t="str">
        <f t="shared" si="28"/>
        <v>-</v>
      </c>
      <c r="CG10" s="300">
        <f t="shared" si="10"/>
        <v>0</v>
      </c>
      <c r="CH10" s="301" t="str">
        <f t="shared" si="11"/>
        <v>-</v>
      </c>
      <c r="CI10" s="9"/>
      <c r="CL10" s="9"/>
      <c r="CM10" s="322" t="s">
        <v>4</v>
      </c>
      <c r="CN10" s="323">
        <f>SUM(CN5:CN9)</f>
        <v>0</v>
      </c>
      <c r="CO10" s="324">
        <f>SUM(CO5:CO9)</f>
        <v>0</v>
      </c>
      <c r="CP10" s="9"/>
      <c r="CQ10" s="9"/>
      <c r="CR10" s="9"/>
      <c r="CS10" s="9"/>
      <c r="CV10" s="9"/>
      <c r="CW10" s="484"/>
      <c r="CX10" s="485"/>
      <c r="CY10" s="487"/>
      <c r="CZ10" s="487"/>
      <c r="DA10" s="485"/>
      <c r="DB10" s="278">
        <f t="shared" si="13"/>
        <v>0</v>
      </c>
      <c r="DC10" s="9"/>
      <c r="DD10" s="9"/>
      <c r="DE10" s="9"/>
      <c r="DF10" s="9"/>
      <c r="DI10" s="9"/>
      <c r="DJ10" s="484"/>
      <c r="DK10" s="489"/>
      <c r="DL10" s="9" t="str">
        <f t="shared" si="0"/>
        <v>-</v>
      </c>
      <c r="DM10" s="485"/>
      <c r="DN10" s="485"/>
      <c r="DO10" s="279" t="str">
        <f t="shared" si="14"/>
        <v/>
      </c>
      <c r="DP10" s="485"/>
      <c r="DQ10" s="278" t="str">
        <f t="shared" si="15"/>
        <v/>
      </c>
      <c r="DR10" s="9"/>
      <c r="DS10" s="9"/>
      <c r="DT10" s="9"/>
      <c r="DU10" s="9"/>
      <c r="DX10" s="9"/>
      <c r="DY10" s="325"/>
      <c r="DZ10" s="326"/>
      <c r="EA10" s="326" t="s">
        <v>252</v>
      </c>
      <c r="EB10" s="327">
        <f>SUM(EB6:EB9)</f>
        <v>0</v>
      </c>
      <c r="EC10" s="9"/>
      <c r="ED10" s="9"/>
      <c r="EE10" s="9"/>
      <c r="EF10" s="9"/>
      <c r="EJ10" s="9"/>
      <c r="EK10" s="281" t="s">
        <v>268</v>
      </c>
      <c r="EL10" s="499">
        <f>IFERROR((EB6-EB12)/CO12,)</f>
        <v>0</v>
      </c>
      <c r="EM10" s="9"/>
      <c r="EN10" s="9"/>
      <c r="EO10" s="9"/>
      <c r="EP10" s="9"/>
    </row>
    <row r="11" spans="1:146" ht="18.95" customHeight="1" thickBot="1" x14ac:dyDescent="0.3">
      <c r="A11" s="614" t="s">
        <v>262</v>
      </c>
      <c r="B11" s="615"/>
      <c r="C11" s="615"/>
      <c r="D11" s="615"/>
      <c r="E11" s="615"/>
      <c r="F11" s="616"/>
      <c r="G11" s="283"/>
      <c r="H11" s="284"/>
      <c r="I11" s="318" t="s">
        <v>341</v>
      </c>
      <c r="J11" s="458"/>
      <c r="K11" s="319" t="s">
        <v>342</v>
      </c>
      <c r="L11" s="284"/>
      <c r="M11" s="283"/>
      <c r="N11" s="283"/>
      <c r="O11" s="259">
        <f>SUM(R5:R11)</f>
        <v>0</v>
      </c>
      <c r="P11" s="260">
        <v>7</v>
      </c>
      <c r="Q11" s="461"/>
      <c r="R11" s="287">
        <f t="shared" si="1"/>
        <v>0</v>
      </c>
      <c r="S11" s="467"/>
      <c r="T11" s="464"/>
      <c r="U11" s="465"/>
      <c r="V11" s="468"/>
      <c r="W11" s="467"/>
      <c r="X11" s="262">
        <f t="shared" si="2"/>
        <v>0</v>
      </c>
      <c r="Y11" s="263" t="str">
        <f t="shared" si="3"/>
        <v>-</v>
      </c>
      <c r="Z11" s="264">
        <v>7</v>
      </c>
      <c r="AA11" s="474"/>
      <c r="AB11" s="474"/>
      <c r="AC11" s="467"/>
      <c r="AD11" s="262">
        <f t="shared" si="4"/>
        <v>0</v>
      </c>
      <c r="AE11" s="265" t="str">
        <f t="shared" si="5"/>
        <v>-</v>
      </c>
      <c r="AF11" s="266" t="str">
        <f t="shared" si="6"/>
        <v>-</v>
      </c>
      <c r="AG11" s="9"/>
      <c r="AH11" s="259" t="s">
        <v>369</v>
      </c>
      <c r="AI11" s="9"/>
      <c r="AJ11" s="9"/>
      <c r="AK11" s="9"/>
      <c r="AL11" s="283"/>
      <c r="AM11" s="259">
        <v>6</v>
      </c>
      <c r="AN11" s="310" t="str">
        <f t="shared" si="29"/>
        <v>-</v>
      </c>
      <c r="AO11" s="9" t="str">
        <f t="shared" si="16"/>
        <v>-</v>
      </c>
      <c r="AP11" s="289" t="str">
        <f t="shared" si="17"/>
        <v>-</v>
      </c>
      <c r="AQ11" s="9" t="str">
        <f t="shared" si="18"/>
        <v>-</v>
      </c>
      <c r="AR11" s="453"/>
      <c r="AS11" s="453"/>
      <c r="AT11" s="229" t="str">
        <f t="shared" si="19"/>
        <v>-</v>
      </c>
      <c r="AU11" s="290" t="str">
        <f t="shared" si="20"/>
        <v>N/A</v>
      </c>
      <c r="AV11" s="453"/>
      <c r="AW11" s="290" t="str">
        <f t="shared" si="7"/>
        <v>N/A</v>
      </c>
      <c r="AX11" s="453"/>
      <c r="AY11" s="290" t="str">
        <f t="shared" si="21"/>
        <v>N/A</v>
      </c>
      <c r="AZ11" s="453"/>
      <c r="BA11" s="291" t="str">
        <f t="shared" si="22"/>
        <v>N/A</v>
      </c>
      <c r="BB11" s="292" t="str">
        <f t="shared" si="23"/>
        <v>-</v>
      </c>
      <c r="BC11" s="512" t="str">
        <f t="shared" si="24"/>
        <v>-</v>
      </c>
      <c r="BD11" s="293" t="str">
        <f t="shared" si="25"/>
        <v>-</v>
      </c>
      <c r="BE11" s="293" t="str">
        <f t="shared" si="26"/>
        <v>-</v>
      </c>
      <c r="BF11" s="294" t="str">
        <f t="shared" si="27"/>
        <v>-</v>
      </c>
      <c r="BG11" s="9"/>
      <c r="BH11" s="9"/>
      <c r="BI11" s="9"/>
      <c r="BJ11" s="9"/>
      <c r="BM11" s="9"/>
      <c r="BN11" s="479" t="s">
        <v>293</v>
      </c>
      <c r="BO11" s="480"/>
      <c r="BP11" s="481"/>
      <c r="BQ11" s="329">
        <f>IF($BP11-$BO11&gt;0,$BP11-$BO11,0)</f>
        <v>0</v>
      </c>
      <c r="BR11" s="330">
        <f>IF(ISBLANK(BO11),0,IF(AND(Feed!D$3&gt;$BP11,$BP11&gt;Feed!C$3),$BQ11,MAX(MIN($BP11,Feed!D$3)-$BO11,0)))</f>
        <v>0</v>
      </c>
      <c r="BS11" s="330">
        <f>IF(ISBLANK(BO11),0,IF(AND(Feed!E$3&gt;$BP11,$BP11&gt;Feed!D$3),$BQ11,MAX(MIN($BP11,Feed!E$3)-$BO11-BR11,0)))</f>
        <v>0</v>
      </c>
      <c r="BT11" s="330">
        <f>IF(ISBLANK($BO11),0,IF(OR(Feed!$F$3-$BO11&lt;0,$BP11&lt;Feed!$E$3),0,MIN($BP11,Feed!$F$3)-MAX(Feed!$E$3,$BO11)))</f>
        <v>0</v>
      </c>
      <c r="BU11" s="330">
        <f>IF($BP11&gt;Feed!$F$3,$BP11-Feed!$F$3,0)</f>
        <v>0</v>
      </c>
      <c r="BV11" s="331">
        <f>CH58</f>
        <v>0</v>
      </c>
      <c r="BW11" s="508">
        <f>CH56</f>
        <v>78.359787947924048</v>
      </c>
      <c r="BX11" s="331">
        <f>IF($BV11=0,0,$BV11-$BW11)</f>
        <v>0</v>
      </c>
      <c r="BY11" s="333" t="str">
        <f>CF56</f>
        <v>-</v>
      </c>
      <c r="BZ11" s="9"/>
      <c r="CA11" s="476"/>
      <c r="CB11" s="515">
        <f>IFERROR(VLOOKUP(CA11,Feed!$B$4:$H$19,2,FALSE)*($BR$7/$BQ$7)+VLOOKUP(CA11,Feed!$B$4:$H$19,3,FALSE)*($BS$7/$BQ$7)+VLOOKUP(CA11,Feed!$B$4:$H$19,4,FALSE)*($BT$7/$BQ$7)+VLOOKUP(CA11,Feed!$B$4:$H$19,5,FALSE)*($BU$7/$BQ$7),0)</f>
        <v>0</v>
      </c>
      <c r="CC11" s="299" t="str">
        <f t="shared" si="8"/>
        <v>-</v>
      </c>
      <c r="CD11" s="299" t="str">
        <f t="shared" si="9"/>
        <v>-</v>
      </c>
      <c r="CE11" s="482"/>
      <c r="CF11" s="299" t="str">
        <f t="shared" si="28"/>
        <v>-</v>
      </c>
      <c r="CG11" s="300">
        <f t="shared" si="10"/>
        <v>0</v>
      </c>
      <c r="CH11" s="301" t="str">
        <f t="shared" si="11"/>
        <v>-</v>
      </c>
      <c r="CI11" s="9"/>
      <c r="CL11" s="9"/>
      <c r="CM11" s="254" t="s">
        <v>224</v>
      </c>
      <c r="CN11" s="255"/>
      <c r="CO11" s="276" t="str">
        <f>IFERROR(SUMPRODUCT(CN5:CN9,CP5:CP9)/CN10,"-")</f>
        <v>-</v>
      </c>
      <c r="CP11" s="9"/>
      <c r="CQ11" s="9"/>
      <c r="CR11" s="9"/>
      <c r="CS11" s="9"/>
      <c r="CV11" s="9"/>
      <c r="CW11" s="484"/>
      <c r="CX11" s="485"/>
      <c r="CY11" s="487"/>
      <c r="CZ11" s="487"/>
      <c r="DA11" s="485"/>
      <c r="DB11" s="278">
        <f t="shared" si="13"/>
        <v>0</v>
      </c>
      <c r="DC11" s="9"/>
      <c r="DD11" s="9"/>
      <c r="DE11" s="9"/>
      <c r="DF11" s="9"/>
      <c r="DI11" s="9"/>
      <c r="DJ11" s="484"/>
      <c r="DK11" s="485"/>
      <c r="DL11" s="9" t="str">
        <f t="shared" si="0"/>
        <v>-</v>
      </c>
      <c r="DM11" s="485"/>
      <c r="DN11" s="485"/>
      <c r="DO11" s="279" t="str">
        <f t="shared" si="14"/>
        <v/>
      </c>
      <c r="DP11" s="485"/>
      <c r="DQ11" s="278" t="str">
        <f t="shared" si="15"/>
        <v/>
      </c>
      <c r="DR11" s="9"/>
      <c r="DS11" s="9"/>
      <c r="DT11" s="9"/>
      <c r="DU11" s="9"/>
      <c r="DX11" s="9"/>
      <c r="DY11" s="620" t="s">
        <v>250</v>
      </c>
      <c r="DZ11" s="621"/>
      <c r="EA11" s="621"/>
      <c r="EB11" s="622"/>
      <c r="EC11" s="9"/>
      <c r="ED11" s="9"/>
      <c r="EE11" s="9"/>
      <c r="EF11" s="9"/>
      <c r="EJ11" s="9"/>
      <c r="EK11" s="334" t="s">
        <v>265</v>
      </c>
      <c r="EL11" s="500">
        <f>EB10*R15</f>
        <v>0</v>
      </c>
      <c r="EM11" s="9"/>
      <c r="EN11" s="9"/>
      <c r="EO11" s="9"/>
      <c r="EP11" s="9"/>
    </row>
    <row r="12" spans="1:146" ht="18.95" customHeight="1" x14ac:dyDescent="0.25">
      <c r="A12" s="614" t="s">
        <v>434</v>
      </c>
      <c r="B12" s="615"/>
      <c r="C12" s="615"/>
      <c r="D12" s="615"/>
      <c r="E12" s="615"/>
      <c r="F12" s="616"/>
      <c r="G12" s="283"/>
      <c r="H12" s="284"/>
      <c r="I12" s="318" t="s">
        <v>96</v>
      </c>
      <c r="J12" s="459"/>
      <c r="K12" s="336" t="s">
        <v>56</v>
      </c>
      <c r="L12" s="284"/>
      <c r="M12" s="283"/>
      <c r="N12" s="283"/>
      <c r="O12" s="259">
        <f>SUM(R5:R12)</f>
        <v>0</v>
      </c>
      <c r="P12" s="260">
        <v>8</v>
      </c>
      <c r="Q12" s="461"/>
      <c r="R12" s="287">
        <f t="shared" si="1"/>
        <v>0</v>
      </c>
      <c r="S12" s="467"/>
      <c r="T12" s="464"/>
      <c r="U12" s="465"/>
      <c r="V12" s="468"/>
      <c r="W12" s="467"/>
      <c r="X12" s="262">
        <f t="shared" si="2"/>
        <v>0</v>
      </c>
      <c r="Y12" s="263" t="str">
        <f t="shared" si="3"/>
        <v>-</v>
      </c>
      <c r="Z12" s="264">
        <v>8</v>
      </c>
      <c r="AA12" s="474"/>
      <c r="AB12" s="474"/>
      <c r="AC12" s="467"/>
      <c r="AD12" s="262">
        <f t="shared" si="4"/>
        <v>0</v>
      </c>
      <c r="AE12" s="265" t="str">
        <f t="shared" si="5"/>
        <v>-</v>
      </c>
      <c r="AF12" s="266" t="str">
        <f t="shared" si="6"/>
        <v>-</v>
      </c>
      <c r="AG12" s="9"/>
      <c r="AH12" s="9"/>
      <c r="AI12" s="9"/>
      <c r="AJ12" s="9"/>
      <c r="AK12" s="9"/>
      <c r="AL12" s="283"/>
      <c r="AM12" s="259">
        <v>7</v>
      </c>
      <c r="AN12" s="310" t="str">
        <f t="shared" si="29"/>
        <v>-</v>
      </c>
      <c r="AO12" s="9" t="str">
        <f t="shared" si="16"/>
        <v>-</v>
      </c>
      <c r="AP12" s="289" t="str">
        <f t="shared" si="17"/>
        <v>-</v>
      </c>
      <c r="AQ12" s="9" t="str">
        <f t="shared" si="18"/>
        <v>-</v>
      </c>
      <c r="AR12" s="453"/>
      <c r="AS12" s="453"/>
      <c r="AT12" s="229" t="str">
        <f t="shared" si="19"/>
        <v>-</v>
      </c>
      <c r="AU12" s="290" t="str">
        <f t="shared" si="20"/>
        <v>N/A</v>
      </c>
      <c r="AV12" s="453"/>
      <c r="AW12" s="290" t="str">
        <f t="shared" si="7"/>
        <v>N/A</v>
      </c>
      <c r="AX12" s="453"/>
      <c r="AY12" s="290" t="str">
        <f t="shared" si="21"/>
        <v>N/A</v>
      </c>
      <c r="AZ12" s="453"/>
      <c r="BA12" s="291" t="str">
        <f t="shared" si="22"/>
        <v>N/A</v>
      </c>
      <c r="BB12" s="292" t="str">
        <f t="shared" si="23"/>
        <v>-</v>
      </c>
      <c r="BC12" s="512" t="str">
        <f t="shared" si="24"/>
        <v>-</v>
      </c>
      <c r="BD12" s="293" t="str">
        <f t="shared" si="25"/>
        <v>-</v>
      </c>
      <c r="BE12" s="293" t="str">
        <f t="shared" si="26"/>
        <v>-</v>
      </c>
      <c r="BF12" s="294" t="str">
        <f t="shared" si="27"/>
        <v>-</v>
      </c>
      <c r="BG12" s="9"/>
      <c r="BH12" s="9"/>
      <c r="BI12" s="9"/>
      <c r="BJ12" s="9"/>
      <c r="BM12" s="9"/>
      <c r="BN12" s="9"/>
      <c r="BO12" s="9"/>
      <c r="BP12" s="9" t="s">
        <v>370</v>
      </c>
      <c r="BQ12" s="337">
        <f>SUM(BQ7:BQ11)</f>
        <v>0</v>
      </c>
      <c r="BR12" s="9"/>
      <c r="BS12" s="9"/>
      <c r="BT12" s="9"/>
      <c r="BU12" s="9"/>
      <c r="BV12" s="9"/>
      <c r="BW12" s="9"/>
      <c r="BX12" s="9"/>
      <c r="BY12" s="9"/>
      <c r="BZ12" s="9"/>
      <c r="CA12" s="338" t="s">
        <v>330</v>
      </c>
      <c r="CB12" s="516">
        <f>'AUM Evaluator'!$S$9*$CB$61</f>
        <v>78.359787947924048</v>
      </c>
      <c r="CC12" s="299">
        <v>1</v>
      </c>
      <c r="CD12" s="340">
        <v>0</v>
      </c>
      <c r="CE12" s="483"/>
      <c r="CF12" s="341" t="str">
        <f t="shared" si="28"/>
        <v>-</v>
      </c>
      <c r="CG12" s="342">
        <f t="shared" si="10"/>
        <v>0</v>
      </c>
      <c r="CH12" s="343">
        <f t="shared" si="11"/>
        <v>78.359787947924048</v>
      </c>
      <c r="CI12" s="9"/>
      <c r="CL12" s="9"/>
      <c r="CM12" s="254" t="s">
        <v>255</v>
      </c>
      <c r="CN12" s="255"/>
      <c r="CO12" s="276">
        <f>MAX(AZ56,AX56,AV56,AS56,AR56)-AR56</f>
        <v>0</v>
      </c>
      <c r="CP12" s="9"/>
      <c r="CQ12" s="9"/>
      <c r="CR12" s="9"/>
      <c r="CS12" s="9"/>
      <c r="CV12" s="9"/>
      <c r="CW12" s="484"/>
      <c r="CX12" s="485"/>
      <c r="CY12" s="487"/>
      <c r="CZ12" s="487"/>
      <c r="DA12" s="485"/>
      <c r="DB12" s="278">
        <f t="shared" si="13"/>
        <v>0</v>
      </c>
      <c r="DC12" s="9"/>
      <c r="DD12" s="9"/>
      <c r="DE12" s="9"/>
      <c r="DF12" s="9"/>
      <c r="DI12" s="9"/>
      <c r="DJ12" s="484"/>
      <c r="DK12" s="485"/>
      <c r="DL12" s="9" t="str">
        <f t="shared" si="0"/>
        <v>-</v>
      </c>
      <c r="DM12" s="485"/>
      <c r="DN12" s="485"/>
      <c r="DO12" s="279" t="str">
        <f t="shared" si="14"/>
        <v/>
      </c>
      <c r="DP12" s="485"/>
      <c r="DQ12" s="278" t="str">
        <f t="shared" si="15"/>
        <v/>
      </c>
      <c r="DR12" s="9"/>
      <c r="DS12" s="9"/>
      <c r="DT12" s="9"/>
      <c r="DU12" s="9"/>
      <c r="DX12" s="9"/>
      <c r="DY12" s="304" t="s">
        <v>232</v>
      </c>
      <c r="DZ12" s="306" t="str">
        <f>ROUND(AR56,0)&amp; " pounds at $"&amp;ROUND(W15/100,2)&amp;" per pound"</f>
        <v>0 pounds at $0 per pound</v>
      </c>
      <c r="EA12" s="306"/>
      <c r="EB12" s="344">
        <f>Y15</f>
        <v>0</v>
      </c>
      <c r="EC12" s="9"/>
      <c r="ED12" s="9"/>
      <c r="EE12" s="9"/>
      <c r="EF12" s="9"/>
      <c r="EJ12" s="9"/>
      <c r="EK12" s="334" t="s">
        <v>259</v>
      </c>
      <c r="EL12" s="500">
        <f>EB10</f>
        <v>0</v>
      </c>
      <c r="EM12" s="9"/>
      <c r="EN12" s="9"/>
      <c r="EO12" s="9"/>
      <c r="EP12" s="9"/>
    </row>
    <row r="13" spans="1:146" ht="18.95" customHeight="1" thickBot="1" x14ac:dyDescent="0.3">
      <c r="G13" s="283"/>
      <c r="H13" s="284"/>
      <c r="I13" s="345" t="s">
        <v>3</v>
      </c>
      <c r="J13" s="460"/>
      <c r="K13" s="346" t="s">
        <v>46</v>
      </c>
      <c r="L13" s="284"/>
      <c r="M13" s="283"/>
      <c r="N13" s="283"/>
      <c r="O13" s="259">
        <f>SUM(R5:R13)</f>
        <v>0</v>
      </c>
      <c r="P13" s="260">
        <v>9</v>
      </c>
      <c r="Q13" s="461"/>
      <c r="R13" s="287">
        <f t="shared" si="1"/>
        <v>0</v>
      </c>
      <c r="S13" s="467"/>
      <c r="T13" s="464"/>
      <c r="U13" s="465"/>
      <c r="V13" s="468"/>
      <c r="W13" s="467"/>
      <c r="X13" s="262">
        <f t="shared" si="2"/>
        <v>0</v>
      </c>
      <c r="Y13" s="263" t="str">
        <f t="shared" si="3"/>
        <v>-</v>
      </c>
      <c r="Z13" s="264">
        <v>9</v>
      </c>
      <c r="AA13" s="474"/>
      <c r="AB13" s="474"/>
      <c r="AC13" s="467"/>
      <c r="AD13" s="262">
        <f t="shared" si="4"/>
        <v>0</v>
      </c>
      <c r="AE13" s="265" t="str">
        <f t="shared" si="5"/>
        <v>-</v>
      </c>
      <c r="AF13" s="266" t="str">
        <f t="shared" si="6"/>
        <v>-</v>
      </c>
      <c r="AG13" s="9"/>
      <c r="AH13" s="9"/>
      <c r="AI13" s="9"/>
      <c r="AJ13" s="9"/>
      <c r="AK13" s="9"/>
      <c r="AL13" s="283"/>
      <c r="AM13" s="259">
        <v>8</v>
      </c>
      <c r="AN13" s="310" t="str">
        <f t="shared" si="29"/>
        <v>-</v>
      </c>
      <c r="AO13" s="9" t="str">
        <f t="shared" si="16"/>
        <v>-</v>
      </c>
      <c r="AP13" s="289" t="str">
        <f t="shared" si="17"/>
        <v>-</v>
      </c>
      <c r="AQ13" s="9" t="str">
        <f t="shared" si="18"/>
        <v>-</v>
      </c>
      <c r="AR13" s="453"/>
      <c r="AS13" s="453"/>
      <c r="AT13" s="229" t="str">
        <f t="shared" si="19"/>
        <v>-</v>
      </c>
      <c r="AU13" s="290" t="str">
        <f t="shared" si="20"/>
        <v>N/A</v>
      </c>
      <c r="AV13" s="453"/>
      <c r="AW13" s="290" t="str">
        <f t="shared" si="7"/>
        <v>N/A</v>
      </c>
      <c r="AX13" s="453"/>
      <c r="AY13" s="290" t="str">
        <f t="shared" si="21"/>
        <v>N/A</v>
      </c>
      <c r="AZ13" s="453"/>
      <c r="BA13" s="291" t="str">
        <f t="shared" si="22"/>
        <v>N/A</v>
      </c>
      <c r="BB13" s="292" t="str">
        <f t="shared" si="23"/>
        <v>-</v>
      </c>
      <c r="BC13" s="512" t="str">
        <f t="shared" si="24"/>
        <v>-</v>
      </c>
      <c r="BD13" s="293" t="str">
        <f t="shared" si="25"/>
        <v>-</v>
      </c>
      <c r="BE13" s="293" t="str">
        <f t="shared" si="26"/>
        <v>-</v>
      </c>
      <c r="BF13" s="294" t="str">
        <f t="shared" si="27"/>
        <v>-</v>
      </c>
      <c r="BG13" s="9"/>
      <c r="BH13" s="259" t="s">
        <v>301</v>
      </c>
      <c r="BI13" s="9"/>
      <c r="BJ13" s="9"/>
      <c r="BN13" s="347" t="s">
        <v>293</v>
      </c>
      <c r="BZ13" s="9"/>
      <c r="CA13" s="348"/>
      <c r="CB13" s="349"/>
      <c r="CC13" s="350" t="s">
        <v>58</v>
      </c>
      <c r="CD13" s="351"/>
      <c r="CE13" s="352">
        <f>SUM(CE6:CE12)</f>
        <v>0</v>
      </c>
      <c r="CF13" s="353">
        <f>SUM(CF6:CF12)</f>
        <v>0</v>
      </c>
      <c r="CG13" s="352">
        <f t="shared" si="10"/>
        <v>0</v>
      </c>
      <c r="CH13" s="354"/>
      <c r="CI13" s="9"/>
      <c r="CL13" s="9"/>
      <c r="CM13" s="254" t="s">
        <v>254</v>
      </c>
      <c r="CN13" s="255"/>
      <c r="CO13" s="276" t="str">
        <f>BD56</f>
        <v>-</v>
      </c>
      <c r="CP13" s="9"/>
      <c r="CQ13" s="9"/>
      <c r="CR13" s="9"/>
      <c r="CS13" s="9"/>
      <c r="CV13" s="9"/>
      <c r="CW13" s="484"/>
      <c r="CX13" s="485"/>
      <c r="CY13" s="487"/>
      <c r="CZ13" s="487"/>
      <c r="DA13" s="485"/>
      <c r="DB13" s="278">
        <f t="shared" si="13"/>
        <v>0</v>
      </c>
      <c r="DC13" s="9"/>
      <c r="DD13" s="9"/>
      <c r="DE13" s="9"/>
      <c r="DF13" s="9"/>
      <c r="DI13" s="9"/>
      <c r="DJ13" s="484"/>
      <c r="DK13" s="485"/>
      <c r="DL13" s="9" t="str">
        <f t="shared" si="0"/>
        <v>-</v>
      </c>
      <c r="DM13" s="485"/>
      <c r="DN13" s="485"/>
      <c r="DO13" s="279" t="str">
        <f t="shared" si="14"/>
        <v/>
      </c>
      <c r="DP13" s="485"/>
      <c r="DQ13" s="278" t="str">
        <f t="shared" si="15"/>
        <v/>
      </c>
      <c r="DR13" s="9"/>
      <c r="DS13" s="9"/>
      <c r="DT13" s="9"/>
      <c r="DU13" s="9"/>
      <c r="DX13" s="9"/>
      <c r="DY13" s="304" t="s">
        <v>238</v>
      </c>
      <c r="DZ13" s="306"/>
      <c r="EA13" s="306"/>
      <c r="EB13" s="344">
        <f>J6</f>
        <v>0</v>
      </c>
      <c r="EC13" s="9"/>
      <c r="ED13" s="9"/>
      <c r="EE13" s="9"/>
      <c r="EF13" s="9"/>
      <c r="EJ13" s="9"/>
      <c r="EK13" s="334" t="s">
        <v>128</v>
      </c>
      <c r="EL13" s="501">
        <f>EB24*R15</f>
        <v>0</v>
      </c>
      <c r="EM13" s="9"/>
      <c r="EN13" s="9"/>
      <c r="EO13" s="9"/>
      <c r="EP13" s="9"/>
    </row>
    <row r="14" spans="1:146" ht="18.95" customHeight="1" thickBot="1" x14ac:dyDescent="0.3">
      <c r="H14" s="9"/>
      <c r="I14" s="356"/>
      <c r="J14" s="9"/>
      <c r="K14" s="9"/>
      <c r="L14" s="9"/>
      <c r="O14" s="259">
        <f>SUM(R5:R14)</f>
        <v>0</v>
      </c>
      <c r="P14" s="357">
        <v>10</v>
      </c>
      <c r="Q14" s="462"/>
      <c r="R14" s="358">
        <f t="shared" si="1"/>
        <v>0</v>
      </c>
      <c r="S14" s="469"/>
      <c r="T14" s="470"/>
      <c r="U14" s="471"/>
      <c r="V14" s="472"/>
      <c r="W14" s="473"/>
      <c r="X14" s="359">
        <f t="shared" si="2"/>
        <v>0</v>
      </c>
      <c r="Y14" s="360" t="str">
        <f t="shared" si="3"/>
        <v>-</v>
      </c>
      <c r="Z14" s="527">
        <v>10</v>
      </c>
      <c r="AA14" s="475"/>
      <c r="AB14" s="475"/>
      <c r="AC14" s="473"/>
      <c r="AD14" s="359">
        <f t="shared" si="4"/>
        <v>0</v>
      </c>
      <c r="AE14" s="361" t="str">
        <f t="shared" si="5"/>
        <v>-</v>
      </c>
      <c r="AF14" s="362" t="str">
        <f t="shared" si="6"/>
        <v>-</v>
      </c>
      <c r="AG14" s="9"/>
      <c r="AH14" s="9"/>
      <c r="AI14" s="9"/>
      <c r="AJ14" s="9"/>
      <c r="AK14" s="9"/>
      <c r="AM14" s="259">
        <v>9</v>
      </c>
      <c r="AN14" s="310" t="str">
        <f t="shared" si="29"/>
        <v>-</v>
      </c>
      <c r="AO14" s="9" t="str">
        <f t="shared" si="16"/>
        <v>-</v>
      </c>
      <c r="AP14" s="289" t="str">
        <f t="shared" si="17"/>
        <v>-</v>
      </c>
      <c r="AQ14" s="9" t="str">
        <f t="shared" si="18"/>
        <v>-</v>
      </c>
      <c r="AR14" s="453"/>
      <c r="AS14" s="453"/>
      <c r="AT14" s="229" t="str">
        <f t="shared" si="19"/>
        <v>-</v>
      </c>
      <c r="AU14" s="290" t="str">
        <f t="shared" si="20"/>
        <v>N/A</v>
      </c>
      <c r="AV14" s="453"/>
      <c r="AW14" s="290" t="str">
        <f t="shared" si="7"/>
        <v>N/A</v>
      </c>
      <c r="AX14" s="453"/>
      <c r="AY14" s="290" t="str">
        <f t="shared" si="21"/>
        <v>N/A</v>
      </c>
      <c r="AZ14" s="453"/>
      <c r="BA14" s="291" t="str">
        <f t="shared" si="22"/>
        <v>N/A</v>
      </c>
      <c r="BB14" s="292" t="str">
        <f t="shared" si="23"/>
        <v>-</v>
      </c>
      <c r="BC14" s="512" t="str">
        <f t="shared" si="24"/>
        <v>-</v>
      </c>
      <c r="BD14" s="293" t="str">
        <f t="shared" si="25"/>
        <v>-</v>
      </c>
      <c r="BE14" s="293" t="str">
        <f t="shared" si="26"/>
        <v>-</v>
      </c>
      <c r="BF14" s="294" t="str">
        <f t="shared" si="27"/>
        <v>-</v>
      </c>
      <c r="BG14" s="9"/>
      <c r="BH14" s="259" t="s">
        <v>302</v>
      </c>
      <c r="BI14" s="9"/>
      <c r="BJ14" s="9"/>
      <c r="BN14" s="347" t="s">
        <v>293</v>
      </c>
      <c r="BO14" s="213"/>
      <c r="BP14" s="213"/>
      <c r="BQ14" s="213"/>
      <c r="BR14" s="213"/>
      <c r="BS14" s="213"/>
      <c r="BT14" s="213"/>
      <c r="BU14" s="213"/>
      <c r="BZ14" s="9"/>
      <c r="CA14" s="363"/>
      <c r="CB14" s="364"/>
      <c r="CC14" s="365"/>
      <c r="CD14" s="366" t="s">
        <v>226</v>
      </c>
      <c r="CE14" s="366"/>
      <c r="CF14" s="367"/>
      <c r="CG14" s="367"/>
      <c r="CH14" s="368">
        <f>SUMPRODUCT(CF6:CF12,CH6:CH12,CC6:CC12)</f>
        <v>0</v>
      </c>
      <c r="CI14" s="9"/>
      <c r="CL14" s="9"/>
      <c r="CM14" s="254" t="s">
        <v>257</v>
      </c>
      <c r="CN14" s="255"/>
      <c r="CO14" s="276">
        <f>IFERROR(CO18/CO12,)</f>
        <v>0</v>
      </c>
      <c r="CP14" s="9"/>
      <c r="CQ14" s="9"/>
      <c r="CR14" s="9"/>
      <c r="CS14" s="9"/>
      <c r="CV14" s="9"/>
      <c r="CW14" s="484"/>
      <c r="CX14" s="485"/>
      <c r="CY14" s="487"/>
      <c r="CZ14" s="487"/>
      <c r="DA14" s="485"/>
      <c r="DB14" s="278">
        <f t="shared" si="13"/>
        <v>0</v>
      </c>
      <c r="DC14" s="9"/>
      <c r="DD14" s="9"/>
      <c r="DE14" s="9"/>
      <c r="DF14" s="9"/>
      <c r="DI14" s="9"/>
      <c r="DJ14" s="484"/>
      <c r="DK14" s="485"/>
      <c r="DL14" s="9" t="str">
        <f t="shared" si="0"/>
        <v>-</v>
      </c>
      <c r="DM14" s="485"/>
      <c r="DN14" s="485"/>
      <c r="DO14" s="279" t="str">
        <f t="shared" si="14"/>
        <v/>
      </c>
      <c r="DP14" s="485"/>
      <c r="DQ14" s="278" t="str">
        <f t="shared" si="15"/>
        <v/>
      </c>
      <c r="DR14" s="9"/>
      <c r="DS14" s="9"/>
      <c r="DT14" s="9"/>
      <c r="DU14" s="9"/>
      <c r="DX14" s="9"/>
      <c r="DY14" s="304" t="s">
        <v>122</v>
      </c>
      <c r="DZ14" s="306"/>
      <c r="EA14" s="306"/>
      <c r="EB14" s="344" t="str">
        <f>IFERROR(CO18,)</f>
        <v>-</v>
      </c>
      <c r="EC14" s="9"/>
      <c r="ED14" s="9"/>
      <c r="EE14" s="9"/>
      <c r="EF14" s="9"/>
      <c r="EJ14" s="9"/>
      <c r="EK14" s="334" t="s">
        <v>260</v>
      </c>
      <c r="EL14" s="501">
        <f>EB24</f>
        <v>0</v>
      </c>
      <c r="EM14" s="9"/>
      <c r="EN14" s="9"/>
      <c r="EO14" s="9"/>
      <c r="EP14" s="9"/>
    </row>
    <row r="15" spans="1:146" ht="18.95" customHeight="1" thickBot="1" x14ac:dyDescent="0.3">
      <c r="H15" s="9"/>
      <c r="I15" s="9"/>
      <c r="J15" s="9"/>
      <c r="K15" s="9"/>
      <c r="L15" s="9"/>
      <c r="O15" s="9"/>
      <c r="P15" s="369"/>
      <c r="Q15" s="370" t="s">
        <v>186</v>
      </c>
      <c r="R15" s="370">
        <f>SUM(R5:R14)</f>
        <v>0</v>
      </c>
      <c r="S15" s="370"/>
      <c r="T15" s="370"/>
      <c r="U15" s="370"/>
      <c r="V15" s="371" t="str">
        <f>IFERROR(SUMPRODUCT(R5:R14,V5:V14)/R15,"-")</f>
        <v>-</v>
      </c>
      <c r="W15" s="372">
        <f>IFERROR(AVERAGE(W5:W14),)</f>
        <v>0</v>
      </c>
      <c r="X15" s="372">
        <f>SUM(X5:X14)</f>
        <v>0</v>
      </c>
      <c r="Y15" s="373">
        <f>IFERROR(AVERAGE(Y5:Y14),)</f>
        <v>0</v>
      </c>
      <c r="Z15" s="372"/>
      <c r="AA15" s="374">
        <f>SUM(AA5:AA14)</f>
        <v>0</v>
      </c>
      <c r="AB15" s="371" t="str">
        <f>IFERROR(SUMPRODUCT(AA5:AA14,AB5:AB14)/AA15,"-")</f>
        <v>-</v>
      </c>
      <c r="AC15" s="372">
        <f>IFERROR(SUMPRODUCT(AA5:AA14,AC5:AC14,AB5:AB14)/(AA15*AB15),)</f>
        <v>0</v>
      </c>
      <c r="AD15" s="372">
        <f>SUM(AD5:AD14)</f>
        <v>0</v>
      </c>
      <c r="AE15" s="372">
        <f>IFERROR(AVERAGE(AE5:AE14),)</f>
        <v>0</v>
      </c>
      <c r="AF15" s="373">
        <f>IFERROR(SUMPRODUCT(AF5:AF14,AA5:AA14)/AA15,0)</f>
        <v>0</v>
      </c>
      <c r="AG15" s="9"/>
      <c r="AH15" s="9"/>
      <c r="AI15" s="9"/>
      <c r="AJ15" s="9"/>
      <c r="AK15" s="9"/>
      <c r="AM15" s="259">
        <v>10</v>
      </c>
      <c r="AN15" s="310" t="str">
        <f t="shared" si="29"/>
        <v>-</v>
      </c>
      <c r="AO15" s="9" t="str">
        <f t="shared" si="16"/>
        <v>-</v>
      </c>
      <c r="AP15" s="289" t="str">
        <f t="shared" si="17"/>
        <v>-</v>
      </c>
      <c r="AQ15" s="9" t="str">
        <f t="shared" si="18"/>
        <v>-</v>
      </c>
      <c r="AR15" s="453"/>
      <c r="AS15" s="453"/>
      <c r="AT15" s="229" t="str">
        <f t="shared" si="19"/>
        <v>-</v>
      </c>
      <c r="AU15" s="290" t="str">
        <f t="shared" si="20"/>
        <v>N/A</v>
      </c>
      <c r="AV15" s="453"/>
      <c r="AW15" s="290" t="str">
        <f t="shared" si="7"/>
        <v>N/A</v>
      </c>
      <c r="AX15" s="453"/>
      <c r="AY15" s="290" t="str">
        <f t="shared" si="21"/>
        <v>N/A</v>
      </c>
      <c r="AZ15" s="453"/>
      <c r="BA15" s="291" t="str">
        <f t="shared" si="22"/>
        <v>N/A</v>
      </c>
      <c r="BB15" s="292" t="str">
        <f t="shared" si="23"/>
        <v>-</v>
      </c>
      <c r="BC15" s="512" t="str">
        <f t="shared" si="24"/>
        <v>-</v>
      </c>
      <c r="BD15" s="293" t="str">
        <f t="shared" si="25"/>
        <v>-</v>
      </c>
      <c r="BE15" s="293" t="str">
        <f t="shared" si="26"/>
        <v>-</v>
      </c>
      <c r="BF15" s="294" t="str">
        <f t="shared" si="27"/>
        <v>-</v>
      </c>
      <c r="BG15" s="9"/>
      <c r="BH15" s="9"/>
      <c r="BI15" s="9"/>
      <c r="BJ15" s="9"/>
      <c r="BN15" s="347" t="s">
        <v>293</v>
      </c>
      <c r="BZ15" s="9"/>
      <c r="CA15" s="9" t="s">
        <v>227</v>
      </c>
      <c r="CB15" s="9"/>
      <c r="CC15" s="9"/>
      <c r="CD15" s="9"/>
      <c r="CE15" s="9"/>
      <c r="CF15" s="9"/>
      <c r="CG15" s="9"/>
      <c r="CH15" s="9"/>
      <c r="CI15" s="9"/>
      <c r="CL15" s="9"/>
      <c r="CM15" s="254" t="s">
        <v>207</v>
      </c>
      <c r="CN15" s="255"/>
      <c r="CO15" s="375" t="str">
        <f>IFERROR(SUMPRODUCT(CN5:CN9,CQ5:CQ9)/CN10,"-")</f>
        <v>-</v>
      </c>
      <c r="CP15" s="9"/>
      <c r="CQ15" s="9"/>
      <c r="CR15" s="9"/>
      <c r="CS15" s="9"/>
      <c r="CV15" s="9"/>
      <c r="CW15" s="484"/>
      <c r="CX15" s="485"/>
      <c r="CY15" s="487"/>
      <c r="CZ15" s="487"/>
      <c r="DA15" s="485"/>
      <c r="DB15" s="278">
        <f t="shared" si="13"/>
        <v>0</v>
      </c>
      <c r="DC15" s="9"/>
      <c r="DD15" s="9"/>
      <c r="DE15" s="9"/>
      <c r="DF15" s="9"/>
      <c r="DI15" s="9"/>
      <c r="DJ15" s="484"/>
      <c r="DK15" s="485"/>
      <c r="DL15" s="9" t="str">
        <f t="shared" si="0"/>
        <v>-</v>
      </c>
      <c r="DM15" s="485"/>
      <c r="DN15" s="485"/>
      <c r="DO15" s="279" t="str">
        <f t="shared" si="14"/>
        <v/>
      </c>
      <c r="DP15" s="485"/>
      <c r="DQ15" s="278" t="str">
        <f t="shared" si="15"/>
        <v/>
      </c>
      <c r="DR15" s="9"/>
      <c r="DS15" s="9"/>
      <c r="DT15" s="9"/>
      <c r="DU15" s="9"/>
      <c r="DX15" s="9"/>
      <c r="DY15" s="304"/>
      <c r="DZ15" s="306"/>
      <c r="EA15" s="306"/>
      <c r="EB15" s="344"/>
      <c r="EC15" s="9"/>
      <c r="ED15" s="9"/>
      <c r="EE15" s="9"/>
      <c r="EF15" s="9"/>
      <c r="EJ15" s="9"/>
      <c r="EK15" s="334" t="s">
        <v>353</v>
      </c>
      <c r="EL15" s="501">
        <f>EB25*R15</f>
        <v>0</v>
      </c>
      <c r="EM15" s="9"/>
      <c r="EN15" s="9"/>
      <c r="EO15" s="9"/>
      <c r="EP15" s="9"/>
    </row>
    <row r="16" spans="1:146" ht="31.5" x14ac:dyDescent="0.25">
      <c r="O16" s="9"/>
      <c r="P16" s="9"/>
      <c r="Q16" s="9"/>
      <c r="R16" s="9"/>
      <c r="S16" s="9"/>
      <c r="T16" s="9"/>
      <c r="U16" s="9"/>
      <c r="V16" s="9"/>
      <c r="W16" s="9"/>
      <c r="X16" s="9"/>
      <c r="Y16" s="9"/>
      <c r="Z16" s="9"/>
      <c r="AA16" s="9"/>
      <c r="AB16" s="9"/>
      <c r="AC16" s="9"/>
      <c r="AD16" s="9"/>
      <c r="AE16" s="9"/>
      <c r="AF16" s="9"/>
      <c r="AG16" s="9"/>
      <c r="AH16" s="9"/>
      <c r="AI16" s="9"/>
      <c r="AJ16" s="9"/>
      <c r="AK16" s="9"/>
      <c r="AM16" s="259">
        <v>11</v>
      </c>
      <c r="AN16" s="310" t="str">
        <f t="shared" si="29"/>
        <v>-</v>
      </c>
      <c r="AO16" s="9" t="str">
        <f t="shared" si="16"/>
        <v>-</v>
      </c>
      <c r="AP16" s="289" t="str">
        <f t="shared" si="17"/>
        <v>-</v>
      </c>
      <c r="AQ16" s="9" t="str">
        <f t="shared" si="18"/>
        <v>-</v>
      </c>
      <c r="AR16" s="453"/>
      <c r="AS16" s="453"/>
      <c r="AT16" s="229" t="str">
        <f t="shared" si="19"/>
        <v>-</v>
      </c>
      <c r="AU16" s="290" t="str">
        <f>IFERROR(IF((AS16-AR16)/AT16&lt;-5,"CHECK INPUTS",(AS16-AR16)/AT16),"N/A")</f>
        <v>N/A</v>
      </c>
      <c r="AV16" s="453"/>
      <c r="AW16" s="290" t="str">
        <f t="shared" si="7"/>
        <v>N/A</v>
      </c>
      <c r="AX16" s="453"/>
      <c r="AY16" s="290" t="str">
        <f t="shared" si="21"/>
        <v>N/A</v>
      </c>
      <c r="AZ16" s="453"/>
      <c r="BA16" s="291" t="str">
        <f t="shared" si="22"/>
        <v>N/A</v>
      </c>
      <c r="BB16" s="292" t="str">
        <f t="shared" si="23"/>
        <v>-</v>
      </c>
      <c r="BC16" s="512" t="str">
        <f t="shared" si="24"/>
        <v>-</v>
      </c>
      <c r="BD16" s="293" t="str">
        <f t="shared" si="25"/>
        <v>-</v>
      </c>
      <c r="BE16" s="293" t="str">
        <f t="shared" si="26"/>
        <v>-</v>
      </c>
      <c r="BF16" s="294" t="str">
        <f t="shared" si="27"/>
        <v>-</v>
      </c>
      <c r="BG16" s="9"/>
      <c r="BH16" s="9"/>
      <c r="BI16" s="9"/>
      <c r="BJ16" s="9"/>
      <c r="BN16" s="347" t="s">
        <v>293</v>
      </c>
      <c r="BZ16" s="9"/>
      <c r="CA16" s="273" t="str">
        <f>IF(BN8=BN17,"-",BN8)</f>
        <v>-</v>
      </c>
      <c r="CB16" s="54" t="s">
        <v>328</v>
      </c>
      <c r="CC16" s="54" t="s">
        <v>205</v>
      </c>
      <c r="CD16" s="54" t="s">
        <v>95</v>
      </c>
      <c r="CE16" s="54" t="s">
        <v>326</v>
      </c>
      <c r="CF16" s="54" t="s">
        <v>206</v>
      </c>
      <c r="CG16" s="54" t="s">
        <v>234</v>
      </c>
      <c r="CH16" s="274" t="s">
        <v>209</v>
      </c>
      <c r="CI16" s="9"/>
      <c r="CL16" s="9"/>
      <c r="CM16" s="254" t="s">
        <v>256</v>
      </c>
      <c r="CN16" s="255"/>
      <c r="CO16" s="276" t="str">
        <f>IFERROR(CO10*CO15,"-")</f>
        <v>-</v>
      </c>
      <c r="CP16" s="9"/>
      <c r="CQ16" s="9"/>
      <c r="CR16" s="9"/>
      <c r="CS16" s="9"/>
      <c r="CV16" s="9"/>
      <c r="CW16" s="484"/>
      <c r="CX16" s="485"/>
      <c r="CY16" s="487"/>
      <c r="CZ16" s="487"/>
      <c r="DA16" s="485"/>
      <c r="DB16" s="278">
        <f t="shared" si="13"/>
        <v>0</v>
      </c>
      <c r="DC16" s="9"/>
      <c r="DD16" s="9"/>
      <c r="DE16" s="9"/>
      <c r="DF16" s="9"/>
      <c r="DI16" s="9"/>
      <c r="DJ16" s="484"/>
      <c r="DK16" s="485"/>
      <c r="DL16" s="9" t="str">
        <f t="shared" si="0"/>
        <v>-</v>
      </c>
      <c r="DM16" s="485"/>
      <c r="DN16" s="485"/>
      <c r="DO16" s="279" t="str">
        <f t="shared" si="14"/>
        <v/>
      </c>
      <c r="DP16" s="485"/>
      <c r="DQ16" s="278" t="str">
        <f t="shared" si="15"/>
        <v/>
      </c>
      <c r="DR16" s="9"/>
      <c r="DS16" s="9"/>
      <c r="DT16" s="9"/>
      <c r="DU16" s="9"/>
      <c r="DX16" s="9"/>
      <c r="DY16" s="625" t="s">
        <v>410</v>
      </c>
      <c r="DZ16" s="306" t="s">
        <v>325</v>
      </c>
      <c r="EA16" s="306"/>
      <c r="EB16" s="344">
        <f>DB19</f>
        <v>0</v>
      </c>
      <c r="EC16" s="9"/>
      <c r="ED16" s="9"/>
      <c r="EE16" s="9"/>
      <c r="EF16" s="9"/>
      <c r="EJ16" s="9"/>
      <c r="EK16" s="334" t="s">
        <v>352</v>
      </c>
      <c r="EL16" s="502">
        <f>EB25</f>
        <v>0</v>
      </c>
      <c r="EM16" s="9"/>
      <c r="EN16" s="9"/>
      <c r="EO16" s="9"/>
      <c r="EP16" s="9"/>
    </row>
    <row r="17" spans="39:146" ht="18.95" customHeight="1" thickBot="1" x14ac:dyDescent="0.3">
      <c r="AM17" s="259">
        <v>12</v>
      </c>
      <c r="AN17" s="310" t="str">
        <f t="shared" si="29"/>
        <v>-</v>
      </c>
      <c r="AO17" s="9" t="str">
        <f t="shared" si="16"/>
        <v>-</v>
      </c>
      <c r="AP17" s="289" t="str">
        <f t="shared" si="17"/>
        <v>-</v>
      </c>
      <c r="AQ17" s="9" t="str">
        <f t="shared" si="18"/>
        <v>-</v>
      </c>
      <c r="AR17" s="453"/>
      <c r="AS17" s="453"/>
      <c r="AT17" s="229" t="str">
        <f t="shared" si="19"/>
        <v>-</v>
      </c>
      <c r="AU17" s="290" t="str">
        <f t="shared" si="20"/>
        <v>N/A</v>
      </c>
      <c r="AV17" s="453"/>
      <c r="AW17" s="290" t="str">
        <f t="shared" si="7"/>
        <v>N/A</v>
      </c>
      <c r="AX17" s="453"/>
      <c r="AY17" s="290" t="str">
        <f t="shared" si="21"/>
        <v>N/A</v>
      </c>
      <c r="AZ17" s="453"/>
      <c r="BA17" s="291" t="str">
        <f t="shared" si="22"/>
        <v>N/A</v>
      </c>
      <c r="BB17" s="292" t="str">
        <f t="shared" si="23"/>
        <v>-</v>
      </c>
      <c r="BC17" s="512" t="str">
        <f t="shared" si="24"/>
        <v>-</v>
      </c>
      <c r="BD17" s="293" t="str">
        <f t="shared" si="25"/>
        <v>-</v>
      </c>
      <c r="BE17" s="293" t="str">
        <f t="shared" si="26"/>
        <v>-</v>
      </c>
      <c r="BF17" s="294" t="str">
        <f t="shared" si="27"/>
        <v>-</v>
      </c>
      <c r="BG17" s="9"/>
      <c r="BH17" s="9"/>
      <c r="BI17" s="9"/>
      <c r="BJ17" s="9"/>
      <c r="BN17" s="347" t="s">
        <v>293</v>
      </c>
      <c r="BZ17" s="9"/>
      <c r="CA17" s="476"/>
      <c r="CB17" s="515">
        <f>IFERROR(VLOOKUP(CA17,Feed!$B$4:$H$19,2,FALSE)*($BR$8/$BQ$8)+VLOOKUP(CA17,Feed!$B$4:$H$19,3,FALSE)*($BS$8/$BQ$8)+VLOOKUP(CA17,Feed!$B$4:$H$19,4,FALSE)*($BT$8/$BQ$8)+VLOOKUP(CA17,Feed!$B$4:$H$19,5,FALSE)*($BU$8/$BQ$8),0)</f>
        <v>0</v>
      </c>
      <c r="CC17" s="299" t="str">
        <f t="shared" ref="CC17:CC22" si="30">IFERROR(VLOOKUP($CA17,FeedIngLst,6,FALSE),"-")</f>
        <v>-</v>
      </c>
      <c r="CD17" s="299" t="str">
        <f t="shared" ref="CD17:CD22" si="31">IFERROR(VLOOKUP($CA17,FeedIngLst,7,FALSE),"-")</f>
        <v>-</v>
      </c>
      <c r="CE17" s="482"/>
      <c r="CF17" s="299" t="str">
        <f>IFERROR(CE17/$CE$24,"-")</f>
        <v>-</v>
      </c>
      <c r="CG17" s="300">
        <f t="shared" ref="CG17:CG24" si="32">CE17*$R$15*$BQ$8/2000</f>
        <v>0</v>
      </c>
      <c r="CH17" s="301" t="str">
        <f t="shared" ref="CH17:CH23" si="33">IFERROR($CB17/$CC17/(1-$CD17),"-")</f>
        <v>-</v>
      </c>
      <c r="CI17" s="9"/>
      <c r="CL17" s="9"/>
      <c r="CM17" s="254" t="s">
        <v>233</v>
      </c>
      <c r="CN17" s="255"/>
      <c r="CO17" s="375" t="str">
        <f>IFERROR(CO10/R15,"-")</f>
        <v>-</v>
      </c>
      <c r="CP17" s="9"/>
      <c r="CQ17" s="9"/>
      <c r="CR17" s="9"/>
      <c r="CS17" s="9"/>
      <c r="CV17" s="9"/>
      <c r="CW17" s="484"/>
      <c r="CX17" s="485"/>
      <c r="CY17" s="487"/>
      <c r="CZ17" s="487"/>
      <c r="DA17" s="485"/>
      <c r="DB17" s="278">
        <f t="shared" si="13"/>
        <v>0</v>
      </c>
      <c r="DC17" s="9"/>
      <c r="DD17" s="9"/>
      <c r="DE17" s="9"/>
      <c r="DF17" s="9"/>
      <c r="DI17" s="9"/>
      <c r="DJ17" s="484"/>
      <c r="DK17" s="485"/>
      <c r="DL17" s="9" t="str">
        <f t="shared" si="0"/>
        <v>-</v>
      </c>
      <c r="DM17" s="485"/>
      <c r="DN17" s="485"/>
      <c r="DO17" s="279" t="str">
        <f t="shared" si="14"/>
        <v/>
      </c>
      <c r="DP17" s="485"/>
      <c r="DQ17" s="278" t="str">
        <f t="shared" si="15"/>
        <v/>
      </c>
      <c r="DR17" s="9"/>
      <c r="DS17" s="9"/>
      <c r="DT17" s="9"/>
      <c r="DU17" s="9"/>
      <c r="DX17" s="9"/>
      <c r="DY17" s="625"/>
      <c r="DZ17" s="306" t="s">
        <v>235</v>
      </c>
      <c r="EA17" s="306"/>
      <c r="EB17" s="377" t="str">
        <f>IFERROR(DQ30/R15,"-")</f>
        <v>-</v>
      </c>
      <c r="EC17" s="9"/>
      <c r="ED17" s="9"/>
      <c r="EE17" s="9"/>
      <c r="EF17" s="9"/>
      <c r="EJ17" s="9"/>
      <c r="EK17" s="378" t="s">
        <v>261</v>
      </c>
      <c r="EL17" s="503">
        <f>IFERROR((EL11-EL13)/EL13,)</f>
        <v>0</v>
      </c>
      <c r="EM17" s="9"/>
      <c r="EN17" s="9"/>
      <c r="EO17" s="9"/>
      <c r="EP17" s="9"/>
    </row>
    <row r="18" spans="39:146" ht="18.95" customHeight="1" x14ac:dyDescent="0.25">
      <c r="AM18" s="259">
        <v>13</v>
      </c>
      <c r="AN18" s="310" t="str">
        <f t="shared" si="29"/>
        <v>-</v>
      </c>
      <c r="AO18" s="9" t="str">
        <f t="shared" si="16"/>
        <v>-</v>
      </c>
      <c r="AP18" s="289" t="str">
        <f t="shared" si="17"/>
        <v>-</v>
      </c>
      <c r="AQ18" s="9" t="str">
        <f t="shared" si="18"/>
        <v>-</v>
      </c>
      <c r="AR18" s="453"/>
      <c r="AS18" s="453"/>
      <c r="AT18" s="229" t="str">
        <f t="shared" si="19"/>
        <v>-</v>
      </c>
      <c r="AU18" s="290" t="str">
        <f t="shared" si="20"/>
        <v>N/A</v>
      </c>
      <c r="AV18" s="453"/>
      <c r="AW18" s="290" t="str">
        <f t="shared" si="7"/>
        <v>N/A</v>
      </c>
      <c r="AX18" s="453"/>
      <c r="AY18" s="290" t="str">
        <f t="shared" si="21"/>
        <v>N/A</v>
      </c>
      <c r="AZ18" s="453"/>
      <c r="BA18" s="291" t="str">
        <f t="shared" si="22"/>
        <v>N/A</v>
      </c>
      <c r="BB18" s="292" t="str">
        <f t="shared" si="23"/>
        <v>-</v>
      </c>
      <c r="BC18" s="512" t="str">
        <f t="shared" si="24"/>
        <v>-</v>
      </c>
      <c r="BD18" s="293" t="str">
        <f t="shared" si="25"/>
        <v>-</v>
      </c>
      <c r="BE18" s="293" t="str">
        <f t="shared" si="26"/>
        <v>-</v>
      </c>
      <c r="BF18" s="294" t="str">
        <f t="shared" si="27"/>
        <v>-</v>
      </c>
      <c r="BG18" s="9"/>
      <c r="BH18" s="9"/>
      <c r="BI18" s="9"/>
      <c r="BJ18" s="9"/>
      <c r="BZ18" s="9"/>
      <c r="CA18" s="476"/>
      <c r="CB18" s="515">
        <f>IFERROR(VLOOKUP(CA18,Feed!$B$4:$H$19,2,FALSE)*($BR$8/$BQ$8)+VLOOKUP(CA18,Feed!$B$4:$H$19,3,FALSE)*($BS$8/$BQ$8)+VLOOKUP(CA18,Feed!$B$4:$H$19,4,FALSE)*($BT$8/$BQ$8)+VLOOKUP(CA18,Feed!$B$4:$H$19,5,FALSE)*($BU$8/$BQ$8),0)</f>
        <v>0</v>
      </c>
      <c r="CC18" s="299" t="str">
        <f t="shared" si="30"/>
        <v>-</v>
      </c>
      <c r="CD18" s="299" t="str">
        <f t="shared" si="31"/>
        <v>-</v>
      </c>
      <c r="CE18" s="482"/>
      <c r="CF18" s="299" t="str">
        <f t="shared" ref="CF18:CF23" si="34">IFERROR(CE18/$CE$24,"-")</f>
        <v>-</v>
      </c>
      <c r="CG18" s="300">
        <f t="shared" si="32"/>
        <v>0</v>
      </c>
      <c r="CH18" s="301" t="str">
        <f t="shared" si="33"/>
        <v>-</v>
      </c>
      <c r="CI18" s="9"/>
      <c r="CL18" s="9"/>
      <c r="CM18" s="380" t="s">
        <v>59</v>
      </c>
      <c r="CN18" s="381"/>
      <c r="CO18" s="382" t="str">
        <f>IFERROR(CO16/R15,"-")</f>
        <v>-</v>
      </c>
      <c r="CP18" s="9"/>
      <c r="CQ18" s="9"/>
      <c r="CR18" s="9"/>
      <c r="CS18" s="9"/>
      <c r="CV18" s="9"/>
      <c r="CW18" s="486"/>
      <c r="CX18" s="473"/>
      <c r="CY18" s="488"/>
      <c r="CZ18" s="488"/>
      <c r="DA18" s="473"/>
      <c r="DB18" s="383">
        <f t="shared" si="13"/>
        <v>0</v>
      </c>
      <c r="DC18" s="9"/>
      <c r="DD18" s="9"/>
      <c r="DE18" s="9"/>
      <c r="DF18" s="9"/>
      <c r="DI18" s="9"/>
      <c r="DJ18" s="484"/>
      <c r="DK18" s="485"/>
      <c r="DL18" s="9" t="str">
        <f t="shared" si="0"/>
        <v>-</v>
      </c>
      <c r="DM18" s="485"/>
      <c r="DN18" s="485"/>
      <c r="DO18" s="279" t="str">
        <f t="shared" si="14"/>
        <v/>
      </c>
      <c r="DP18" s="485"/>
      <c r="DQ18" s="278" t="str">
        <f t="shared" si="15"/>
        <v/>
      </c>
      <c r="DR18" s="9"/>
      <c r="DS18" s="9"/>
      <c r="DT18" s="9"/>
      <c r="DU18" s="9"/>
      <c r="DX18" s="9"/>
      <c r="DY18" s="304" t="s">
        <v>239</v>
      </c>
      <c r="DZ18" s="306" t="s">
        <v>121</v>
      </c>
      <c r="EA18" s="306"/>
      <c r="EB18" s="344">
        <f>J9*MAX(AZ56,AS56,AV56,AX56)/100</f>
        <v>0</v>
      </c>
      <c r="EC18" s="9"/>
      <c r="ED18" s="9"/>
      <c r="EE18" s="9"/>
      <c r="EF18" s="9"/>
      <c r="EJ18" s="9"/>
      <c r="EK18" s="9"/>
      <c r="EL18" s="9"/>
      <c r="EM18" s="9"/>
      <c r="EN18" s="9"/>
      <c r="EO18" s="9"/>
      <c r="EP18" s="9"/>
    </row>
    <row r="19" spans="39:146" ht="18.95" customHeight="1" thickBot="1" x14ac:dyDescent="0.3">
      <c r="AM19" s="259">
        <v>14</v>
      </c>
      <c r="AN19" s="310" t="str">
        <f t="shared" si="29"/>
        <v>-</v>
      </c>
      <c r="AO19" s="9" t="str">
        <f t="shared" si="16"/>
        <v>-</v>
      </c>
      <c r="AP19" s="289" t="str">
        <f t="shared" si="17"/>
        <v>-</v>
      </c>
      <c r="AQ19" s="9" t="str">
        <f t="shared" si="18"/>
        <v>-</v>
      </c>
      <c r="AR19" s="453"/>
      <c r="AS19" s="453"/>
      <c r="AT19" s="229" t="str">
        <f t="shared" si="19"/>
        <v>-</v>
      </c>
      <c r="AU19" s="290" t="str">
        <f t="shared" si="20"/>
        <v>N/A</v>
      </c>
      <c r="AV19" s="453"/>
      <c r="AW19" s="290" t="str">
        <f t="shared" si="7"/>
        <v>N/A</v>
      </c>
      <c r="AX19" s="453"/>
      <c r="AY19" s="290" t="str">
        <f t="shared" si="21"/>
        <v>N/A</v>
      </c>
      <c r="AZ19" s="453"/>
      <c r="BA19" s="291" t="str">
        <f t="shared" si="22"/>
        <v>N/A</v>
      </c>
      <c r="BB19" s="292" t="str">
        <f t="shared" si="23"/>
        <v>-</v>
      </c>
      <c r="BC19" s="512" t="str">
        <f t="shared" si="24"/>
        <v>-</v>
      </c>
      <c r="BD19" s="293" t="str">
        <f t="shared" si="25"/>
        <v>-</v>
      </c>
      <c r="BE19" s="293" t="str">
        <f t="shared" si="26"/>
        <v>-</v>
      </c>
      <c r="BF19" s="294" t="str">
        <f t="shared" si="27"/>
        <v>-</v>
      </c>
      <c r="BG19" s="9"/>
      <c r="BH19" s="9"/>
      <c r="BI19" s="9"/>
      <c r="BJ19" s="9"/>
      <c r="BZ19" s="9"/>
      <c r="CA19" s="476"/>
      <c r="CB19" s="515">
        <f>IFERROR(VLOOKUP(CA19,Feed!$B$4:$H$19,2,FALSE)*($BR$8/$BQ$8)+VLOOKUP(CA19,Feed!$B$4:$H$19,3,FALSE)*($BS$8/$BQ$8)+VLOOKUP(CA19,Feed!$B$4:$H$19,4,FALSE)*($BT$8/$BQ$8)+VLOOKUP(CA19,Feed!$B$4:$H$19,5,FALSE)*($BU$8/$BQ$8),0)</f>
        <v>0</v>
      </c>
      <c r="CC19" s="299" t="str">
        <f t="shared" si="30"/>
        <v>-</v>
      </c>
      <c r="CD19" s="299" t="str">
        <f t="shared" si="31"/>
        <v>-</v>
      </c>
      <c r="CE19" s="482">
        <v>0</v>
      </c>
      <c r="CF19" s="299" t="str">
        <f t="shared" si="34"/>
        <v>-</v>
      </c>
      <c r="CG19" s="300">
        <f t="shared" si="32"/>
        <v>0</v>
      </c>
      <c r="CH19" s="301" t="str">
        <f t="shared" si="33"/>
        <v>-</v>
      </c>
      <c r="CI19" s="9"/>
      <c r="CL19" s="9"/>
      <c r="CM19" s="380" t="s">
        <v>38</v>
      </c>
      <c r="CN19" s="381"/>
      <c r="CO19" s="382" t="str">
        <f>IFERROR(CO18/CN10,"-")</f>
        <v>-</v>
      </c>
      <c r="CP19" s="9"/>
      <c r="CQ19" s="9"/>
      <c r="CR19" s="9"/>
      <c r="CS19" s="9"/>
      <c r="CV19" s="9"/>
      <c r="CW19" s="384"/>
      <c r="CX19" s="385"/>
      <c r="CY19" s="386" t="s">
        <v>315</v>
      </c>
      <c r="CZ19" s="386"/>
      <c r="DA19" s="370"/>
      <c r="DB19" s="387">
        <f>SUMIF(CZ5:CZ18,DD6,DB5:DB18)</f>
        <v>0</v>
      </c>
      <c r="DC19" s="9"/>
      <c r="DD19" s="9"/>
      <c r="DE19" s="9"/>
      <c r="DF19" s="9"/>
      <c r="DI19" s="9"/>
      <c r="DJ19" s="484"/>
      <c r="DK19" s="485"/>
      <c r="DL19" s="9" t="str">
        <f t="shared" si="0"/>
        <v>-</v>
      </c>
      <c r="DM19" s="485"/>
      <c r="DN19" s="485"/>
      <c r="DO19" s="279" t="str">
        <f t="shared" si="14"/>
        <v/>
      </c>
      <c r="DP19" s="485"/>
      <c r="DQ19" s="278" t="str">
        <f t="shared" si="15"/>
        <v/>
      </c>
      <c r="DR19" s="9"/>
      <c r="DS19" s="9"/>
      <c r="DT19" s="9"/>
      <c r="DU19" s="9"/>
      <c r="DX19" s="9"/>
      <c r="DY19" s="304" t="s">
        <v>237</v>
      </c>
      <c r="DZ19" s="306"/>
      <c r="EA19" s="306"/>
      <c r="EB19" s="344" t="str">
        <f>IFERROR(J7/R15,"-")</f>
        <v>-</v>
      </c>
      <c r="EC19" s="9"/>
      <c r="ED19" s="9"/>
      <c r="EE19" s="9"/>
      <c r="EF19" s="9"/>
    </row>
    <row r="20" spans="39:146" ht="18.95" customHeight="1" x14ac:dyDescent="0.25">
      <c r="AM20" s="259">
        <v>15</v>
      </c>
      <c r="AN20" s="310" t="str">
        <f t="shared" si="29"/>
        <v>-</v>
      </c>
      <c r="AO20" s="9" t="str">
        <f t="shared" si="16"/>
        <v>-</v>
      </c>
      <c r="AP20" s="289" t="str">
        <f t="shared" si="17"/>
        <v>-</v>
      </c>
      <c r="AQ20" s="9" t="str">
        <f t="shared" si="18"/>
        <v>-</v>
      </c>
      <c r="AR20" s="453"/>
      <c r="AS20" s="453"/>
      <c r="AT20" s="229" t="str">
        <f t="shared" si="19"/>
        <v>-</v>
      </c>
      <c r="AU20" s="290" t="str">
        <f t="shared" si="20"/>
        <v>N/A</v>
      </c>
      <c r="AV20" s="453"/>
      <c r="AW20" s="290" t="str">
        <f t="shared" si="7"/>
        <v>N/A</v>
      </c>
      <c r="AX20" s="453"/>
      <c r="AY20" s="290" t="str">
        <f t="shared" si="21"/>
        <v>N/A</v>
      </c>
      <c r="AZ20" s="453"/>
      <c r="BA20" s="291" t="str">
        <f t="shared" si="22"/>
        <v>N/A</v>
      </c>
      <c r="BB20" s="292" t="str">
        <f t="shared" si="23"/>
        <v>-</v>
      </c>
      <c r="BC20" s="512" t="str">
        <f t="shared" si="24"/>
        <v>-</v>
      </c>
      <c r="BD20" s="293" t="str">
        <f t="shared" si="25"/>
        <v>-</v>
      </c>
      <c r="BE20" s="293" t="str">
        <f t="shared" si="26"/>
        <v>-</v>
      </c>
      <c r="BF20" s="294" t="str">
        <f t="shared" si="27"/>
        <v>-</v>
      </c>
      <c r="BG20" s="9"/>
      <c r="BH20" s="9"/>
      <c r="BI20" s="9"/>
      <c r="BJ20" s="9"/>
      <c r="BZ20" s="9"/>
      <c r="CA20" s="476"/>
      <c r="CB20" s="515">
        <f>IFERROR(VLOOKUP(CA20,Feed!$B$4:$H$19,2,FALSE)*($BR$8/$BQ$8)+VLOOKUP(CA20,Feed!$B$4:$H$19,3,FALSE)*($BS$8/$BQ$8)+VLOOKUP(CA20,Feed!$B$4:$H$19,4,FALSE)*($BT$8/$BQ$8)+VLOOKUP(CA20,Feed!$B$4:$H$19,5,FALSE)*($BU$8/$BQ$8),0)</f>
        <v>0</v>
      </c>
      <c r="CC20" s="299" t="str">
        <f t="shared" si="30"/>
        <v>-</v>
      </c>
      <c r="CD20" s="299" t="str">
        <f t="shared" si="31"/>
        <v>-</v>
      </c>
      <c r="CE20" s="482"/>
      <c r="CF20" s="299" t="str">
        <f t="shared" si="34"/>
        <v>-</v>
      </c>
      <c r="CG20" s="300">
        <f t="shared" si="32"/>
        <v>0</v>
      </c>
      <c r="CH20" s="301" t="str">
        <f t="shared" si="33"/>
        <v>-</v>
      </c>
      <c r="CI20" s="9"/>
      <c r="CL20" s="9"/>
      <c r="CM20" s="380" t="s">
        <v>37</v>
      </c>
      <c r="CN20" s="381"/>
      <c r="CO20" s="382">
        <f>IFERROR(CO18/(MAX(AZ56,AX56,AV56,AS56)-AR56),)</f>
        <v>0</v>
      </c>
      <c r="CP20" s="9"/>
      <c r="CQ20" s="9"/>
      <c r="CR20" s="9"/>
      <c r="CS20" s="9"/>
      <c r="CV20" s="9"/>
      <c r="CW20" s="9"/>
      <c r="CX20" s="9"/>
      <c r="CY20" s="9"/>
      <c r="CZ20" s="9"/>
      <c r="DA20" s="9"/>
      <c r="DB20" s="9"/>
      <c r="DC20" s="9"/>
      <c r="DD20" s="9"/>
      <c r="DE20" s="9"/>
      <c r="DF20" s="9"/>
      <c r="DI20" s="9"/>
      <c r="DJ20" s="484"/>
      <c r="DK20" s="485"/>
      <c r="DL20" s="9" t="str">
        <f t="shared" si="0"/>
        <v>-</v>
      </c>
      <c r="DM20" s="485"/>
      <c r="DN20" s="485"/>
      <c r="DO20" s="279" t="str">
        <f t="shared" si="14"/>
        <v/>
      </c>
      <c r="DP20" s="485"/>
      <c r="DQ20" s="278" t="str">
        <f t="shared" si="15"/>
        <v/>
      </c>
      <c r="DR20" s="9"/>
      <c r="DS20" s="9"/>
      <c r="DT20" s="9"/>
      <c r="DU20" s="9"/>
      <c r="DX20" s="9"/>
      <c r="DY20" s="304" t="s">
        <v>341</v>
      </c>
      <c r="DZ20" s="306" t="s">
        <v>343</v>
      </c>
      <c r="EA20" s="306"/>
      <c r="EB20" s="344">
        <f>J11*EB10</f>
        <v>0</v>
      </c>
      <c r="EC20" s="9"/>
      <c r="ED20" s="9"/>
      <c r="EE20" s="9"/>
      <c r="EF20" s="9"/>
    </row>
    <row r="21" spans="39:146" ht="18.95" customHeight="1" x14ac:dyDescent="0.25">
      <c r="AM21" s="259">
        <v>16</v>
      </c>
      <c r="AN21" s="310" t="str">
        <f t="shared" si="29"/>
        <v>-</v>
      </c>
      <c r="AO21" s="9" t="str">
        <f t="shared" si="16"/>
        <v>-</v>
      </c>
      <c r="AP21" s="289" t="str">
        <f t="shared" si="17"/>
        <v>-</v>
      </c>
      <c r="AQ21" s="9" t="str">
        <f t="shared" si="18"/>
        <v>-</v>
      </c>
      <c r="AR21" s="453"/>
      <c r="AS21" s="453"/>
      <c r="AT21" s="229" t="str">
        <f t="shared" si="19"/>
        <v>-</v>
      </c>
      <c r="AU21" s="290" t="str">
        <f t="shared" si="20"/>
        <v>N/A</v>
      </c>
      <c r="AV21" s="453"/>
      <c r="AW21" s="290" t="str">
        <f t="shared" si="7"/>
        <v>N/A</v>
      </c>
      <c r="AX21" s="453"/>
      <c r="AY21" s="290" t="str">
        <f t="shared" si="21"/>
        <v>N/A</v>
      </c>
      <c r="AZ21" s="453"/>
      <c r="BA21" s="291" t="str">
        <f t="shared" si="22"/>
        <v>N/A</v>
      </c>
      <c r="BB21" s="292" t="str">
        <f t="shared" si="23"/>
        <v>-</v>
      </c>
      <c r="BC21" s="512" t="str">
        <f t="shared" si="24"/>
        <v>-</v>
      </c>
      <c r="BD21" s="293" t="str">
        <f t="shared" si="25"/>
        <v>-</v>
      </c>
      <c r="BE21" s="293" t="str">
        <f t="shared" si="26"/>
        <v>-</v>
      </c>
      <c r="BF21" s="294" t="str">
        <f t="shared" si="27"/>
        <v>-</v>
      </c>
      <c r="BG21" s="9"/>
      <c r="BH21" s="9"/>
      <c r="BI21" s="9"/>
      <c r="BJ21" s="9"/>
      <c r="BZ21" s="9"/>
      <c r="CA21" s="476"/>
      <c r="CB21" s="515">
        <f>IFERROR(VLOOKUP(CA21,Feed!$B$4:$H$19,2,FALSE)*($BR$8/$BQ$8)+VLOOKUP(CA21,Feed!$B$4:$H$19,3,FALSE)*($BS$8/$BQ$8)+VLOOKUP(CA21,Feed!$B$4:$H$19,4,FALSE)*($BT$8/$BQ$8)+VLOOKUP(CA21,Feed!$B$4:$H$19,5,FALSE)*($BU$8/$BQ$8),0)</f>
        <v>0</v>
      </c>
      <c r="CC21" s="299" t="str">
        <f t="shared" si="30"/>
        <v>-</v>
      </c>
      <c r="CD21" s="299" t="str">
        <f t="shared" si="31"/>
        <v>-</v>
      </c>
      <c r="CE21" s="482"/>
      <c r="CF21" s="299" t="str">
        <f t="shared" si="34"/>
        <v>-</v>
      </c>
      <c r="CG21" s="300">
        <f t="shared" si="32"/>
        <v>0</v>
      </c>
      <c r="CH21" s="301" t="str">
        <f t="shared" si="33"/>
        <v>-</v>
      </c>
      <c r="CI21" s="9"/>
      <c r="CL21" s="9"/>
      <c r="CM21" s="380" t="s">
        <v>225</v>
      </c>
      <c r="CN21" s="381"/>
      <c r="CO21" s="388">
        <f>CO10-CG12-CG23-CG34-CG45-CG56</f>
        <v>0</v>
      </c>
      <c r="CP21" s="9"/>
      <c r="CQ21" s="9"/>
      <c r="CR21" s="9"/>
      <c r="CS21" s="9"/>
      <c r="DI21" s="9"/>
      <c r="DJ21" s="484"/>
      <c r="DK21" s="485"/>
      <c r="DL21" s="9" t="str">
        <f t="shared" si="0"/>
        <v>-</v>
      </c>
      <c r="DM21" s="485"/>
      <c r="DN21" s="485"/>
      <c r="DO21" s="279" t="str">
        <f t="shared" si="14"/>
        <v/>
      </c>
      <c r="DP21" s="485"/>
      <c r="DQ21" s="278" t="str">
        <f t="shared" si="15"/>
        <v/>
      </c>
      <c r="DR21" s="9"/>
      <c r="DS21" s="9"/>
      <c r="DT21" s="9"/>
      <c r="DU21" s="9"/>
      <c r="DX21" s="9"/>
      <c r="DY21" s="304" t="s">
        <v>192</v>
      </c>
      <c r="DZ21" s="389"/>
      <c r="EA21" s="9"/>
      <c r="EB21" s="344">
        <f>'Yardage Calculator'!F43*BQ12</f>
        <v>0</v>
      </c>
      <c r="EC21" s="9"/>
      <c r="ED21" s="9"/>
      <c r="EE21" s="9"/>
      <c r="EF21" s="9"/>
    </row>
    <row r="22" spans="39:146" ht="18.95" customHeight="1" x14ac:dyDescent="0.25">
      <c r="AM22" s="259">
        <v>17</v>
      </c>
      <c r="AN22" s="310" t="str">
        <f t="shared" si="29"/>
        <v>-</v>
      </c>
      <c r="AO22" s="9" t="str">
        <f t="shared" si="16"/>
        <v>-</v>
      </c>
      <c r="AP22" s="289" t="str">
        <f t="shared" si="17"/>
        <v>-</v>
      </c>
      <c r="AQ22" s="9" t="str">
        <f t="shared" si="18"/>
        <v>-</v>
      </c>
      <c r="AR22" s="453"/>
      <c r="AS22" s="453"/>
      <c r="AT22" s="229" t="str">
        <f t="shared" si="19"/>
        <v>-</v>
      </c>
      <c r="AU22" s="290" t="str">
        <f t="shared" si="20"/>
        <v>N/A</v>
      </c>
      <c r="AV22" s="453"/>
      <c r="AW22" s="290" t="str">
        <f t="shared" si="7"/>
        <v>N/A</v>
      </c>
      <c r="AX22" s="453"/>
      <c r="AY22" s="290" t="str">
        <f t="shared" si="21"/>
        <v>N/A</v>
      </c>
      <c r="AZ22" s="453"/>
      <c r="BA22" s="291" t="str">
        <f t="shared" si="22"/>
        <v>N/A</v>
      </c>
      <c r="BB22" s="292" t="str">
        <f t="shared" si="23"/>
        <v>-</v>
      </c>
      <c r="BC22" s="512" t="str">
        <f t="shared" si="24"/>
        <v>-</v>
      </c>
      <c r="BD22" s="293" t="str">
        <f t="shared" si="25"/>
        <v>-</v>
      </c>
      <c r="BE22" s="293" t="str">
        <f t="shared" si="26"/>
        <v>-</v>
      </c>
      <c r="BF22" s="294" t="str">
        <f t="shared" si="27"/>
        <v>-</v>
      </c>
      <c r="BG22" s="9"/>
      <c r="BH22" s="9"/>
      <c r="BI22" s="9"/>
      <c r="BJ22" s="9"/>
      <c r="BZ22" s="9"/>
      <c r="CA22" s="476"/>
      <c r="CB22" s="515">
        <f>IFERROR(VLOOKUP(CA22,Feed!$B$4:$H$19,2,FALSE)*($BR$8/$BQ$8)+VLOOKUP(CA22,Feed!$B$4:$H$19,3,FALSE)*($BS$8/$BQ$8)+VLOOKUP(CA22,Feed!$B$4:$H$19,4,FALSE)*($BT$8/$BQ$8)+VLOOKUP(CA22,Feed!$B$4:$H$19,5,FALSE)*($BU$8/$BQ$8),0)</f>
        <v>0</v>
      </c>
      <c r="CC22" s="299" t="str">
        <f t="shared" si="30"/>
        <v>-</v>
      </c>
      <c r="CD22" s="299" t="str">
        <f t="shared" si="31"/>
        <v>-</v>
      </c>
      <c r="CE22" s="482"/>
      <c r="CF22" s="299" t="str">
        <f t="shared" si="34"/>
        <v>-</v>
      </c>
      <c r="CG22" s="300">
        <f t="shared" si="32"/>
        <v>0</v>
      </c>
      <c r="CH22" s="301" t="str">
        <f t="shared" si="33"/>
        <v>-</v>
      </c>
      <c r="CI22" s="9"/>
      <c r="CL22" s="9"/>
      <c r="CM22" s="254" t="s">
        <v>222</v>
      </c>
      <c r="CN22" s="255"/>
      <c r="CO22" s="276">
        <f>(CO10-CO21)*CB61</f>
        <v>0</v>
      </c>
      <c r="CP22" s="9"/>
      <c r="CQ22" s="9"/>
      <c r="CR22" s="9"/>
      <c r="CS22" s="9"/>
      <c r="DI22" s="9"/>
      <c r="DJ22" s="484"/>
      <c r="DK22" s="485"/>
      <c r="DL22" s="9" t="str">
        <f t="shared" si="0"/>
        <v>-</v>
      </c>
      <c r="DM22" s="485"/>
      <c r="DN22" s="485"/>
      <c r="DO22" s="279" t="str">
        <f t="shared" si="14"/>
        <v/>
      </c>
      <c r="DP22" s="485"/>
      <c r="DQ22" s="278" t="str">
        <f t="shared" si="15"/>
        <v/>
      </c>
      <c r="DR22" s="9"/>
      <c r="DS22" s="9"/>
      <c r="DT22" s="9"/>
      <c r="DU22" s="9"/>
      <c r="DX22" s="9"/>
      <c r="DY22" s="304" t="s">
        <v>241</v>
      </c>
      <c r="DZ22" s="306" t="s">
        <v>243</v>
      </c>
      <c r="EA22" s="306"/>
      <c r="EB22" s="344">
        <f>J10</f>
        <v>0</v>
      </c>
      <c r="EC22" s="9"/>
      <c r="ED22" s="9"/>
      <c r="EE22" s="9"/>
      <c r="EF22" s="9"/>
    </row>
    <row r="23" spans="39:146" ht="18.95" customHeight="1" x14ac:dyDescent="0.25">
      <c r="AM23" s="259">
        <v>18</v>
      </c>
      <c r="AN23" s="310" t="str">
        <f t="shared" si="29"/>
        <v>-</v>
      </c>
      <c r="AO23" s="9" t="str">
        <f t="shared" si="16"/>
        <v>-</v>
      </c>
      <c r="AP23" s="289" t="str">
        <f t="shared" si="17"/>
        <v>-</v>
      </c>
      <c r="AQ23" s="9" t="str">
        <f t="shared" si="18"/>
        <v>-</v>
      </c>
      <c r="AR23" s="453"/>
      <c r="AS23" s="453"/>
      <c r="AT23" s="229" t="str">
        <f t="shared" si="19"/>
        <v>-</v>
      </c>
      <c r="AU23" s="290" t="str">
        <f t="shared" si="20"/>
        <v>N/A</v>
      </c>
      <c r="AV23" s="453"/>
      <c r="AW23" s="290" t="str">
        <f t="shared" si="7"/>
        <v>N/A</v>
      </c>
      <c r="AX23" s="453"/>
      <c r="AY23" s="290" t="str">
        <f t="shared" si="21"/>
        <v>N/A</v>
      </c>
      <c r="AZ23" s="453"/>
      <c r="BA23" s="291" t="str">
        <f t="shared" si="22"/>
        <v>N/A</v>
      </c>
      <c r="BB23" s="292" t="str">
        <f t="shared" si="23"/>
        <v>-</v>
      </c>
      <c r="BC23" s="512" t="str">
        <f t="shared" si="24"/>
        <v>-</v>
      </c>
      <c r="BD23" s="293" t="str">
        <f t="shared" si="25"/>
        <v>-</v>
      </c>
      <c r="BE23" s="293" t="str">
        <f t="shared" si="26"/>
        <v>-</v>
      </c>
      <c r="BF23" s="294" t="str">
        <f t="shared" si="27"/>
        <v>-</v>
      </c>
      <c r="BG23" s="9"/>
      <c r="BH23" s="9"/>
      <c r="BI23" s="9"/>
      <c r="BJ23" s="9"/>
      <c r="BZ23" s="9"/>
      <c r="CA23" s="338" t="s">
        <v>330</v>
      </c>
      <c r="CB23" s="516">
        <f>'AUM Evaluator'!$S$9*$CB$61</f>
        <v>78.359787947924048</v>
      </c>
      <c r="CC23" s="299">
        <v>1</v>
      </c>
      <c r="CD23" s="340">
        <v>0</v>
      </c>
      <c r="CE23" s="483"/>
      <c r="CF23" s="341" t="str">
        <f t="shared" si="34"/>
        <v>-</v>
      </c>
      <c r="CG23" s="342">
        <f t="shared" si="32"/>
        <v>0</v>
      </c>
      <c r="CH23" s="343">
        <f t="shared" si="33"/>
        <v>78.359787947924048</v>
      </c>
      <c r="CI23" s="9"/>
      <c r="CJ23" s="390"/>
      <c r="CK23" s="390"/>
      <c r="CL23" s="391"/>
      <c r="CM23" s="392" t="s">
        <v>230</v>
      </c>
      <c r="CN23" s="393"/>
      <c r="CO23" s="394">
        <f>IFERROR(CO22/R15*'AUM Evaluator'!S9,)</f>
        <v>0</v>
      </c>
      <c r="CP23" s="391"/>
      <c r="CQ23" s="391"/>
      <c r="CR23" s="391"/>
      <c r="CS23" s="391"/>
      <c r="CT23" s="390"/>
      <c r="CU23" s="390"/>
      <c r="DG23" s="390"/>
      <c r="DH23" s="390"/>
      <c r="DI23" s="9"/>
      <c r="DJ23" s="484"/>
      <c r="DK23" s="485"/>
      <c r="DL23" s="9" t="str">
        <f t="shared" si="0"/>
        <v>-</v>
      </c>
      <c r="DM23" s="485"/>
      <c r="DN23" s="485"/>
      <c r="DO23" s="279" t="str">
        <f t="shared" si="14"/>
        <v/>
      </c>
      <c r="DP23" s="485"/>
      <c r="DQ23" s="278" t="str">
        <f t="shared" si="15"/>
        <v/>
      </c>
      <c r="DR23" s="9"/>
      <c r="DS23" s="9"/>
      <c r="DT23" s="9"/>
      <c r="DU23" s="9"/>
      <c r="DV23" s="390"/>
      <c r="DW23" s="390"/>
      <c r="DX23" s="9"/>
      <c r="DY23" s="395" t="s">
        <v>240</v>
      </c>
      <c r="DZ23" s="306"/>
      <c r="EA23" s="306"/>
      <c r="EB23" s="344">
        <f>IFERROR(SUM(EB12,EB13,EB14:EB22)*J8*(BQ12/365),)</f>
        <v>0</v>
      </c>
      <c r="EC23" s="9"/>
      <c r="ED23" s="9"/>
      <c r="EE23" s="9"/>
      <c r="EF23" s="9"/>
    </row>
    <row r="24" spans="39:146" ht="18.95" customHeight="1" x14ac:dyDescent="0.25">
      <c r="AM24" s="259">
        <v>19</v>
      </c>
      <c r="AN24" s="310" t="str">
        <f t="shared" si="29"/>
        <v>-</v>
      </c>
      <c r="AO24" s="9" t="str">
        <f t="shared" si="16"/>
        <v>-</v>
      </c>
      <c r="AP24" s="289" t="str">
        <f t="shared" si="17"/>
        <v>-</v>
      </c>
      <c r="AQ24" s="9" t="str">
        <f t="shared" si="18"/>
        <v>-</v>
      </c>
      <c r="AR24" s="453"/>
      <c r="AS24" s="453"/>
      <c r="AT24" s="229" t="str">
        <f t="shared" si="19"/>
        <v>-</v>
      </c>
      <c r="AU24" s="290" t="str">
        <f t="shared" si="20"/>
        <v>N/A</v>
      </c>
      <c r="AV24" s="453"/>
      <c r="AW24" s="290" t="str">
        <f t="shared" si="7"/>
        <v>N/A</v>
      </c>
      <c r="AX24" s="453"/>
      <c r="AY24" s="290" t="str">
        <f t="shared" si="21"/>
        <v>N/A</v>
      </c>
      <c r="AZ24" s="453"/>
      <c r="BA24" s="291" t="str">
        <f t="shared" si="22"/>
        <v>N/A</v>
      </c>
      <c r="BB24" s="292" t="str">
        <f t="shared" si="23"/>
        <v>-</v>
      </c>
      <c r="BC24" s="512" t="str">
        <f t="shared" si="24"/>
        <v>-</v>
      </c>
      <c r="BD24" s="293" t="str">
        <f t="shared" si="25"/>
        <v>-</v>
      </c>
      <c r="BE24" s="293" t="str">
        <f t="shared" si="26"/>
        <v>-</v>
      </c>
      <c r="BF24" s="294" t="str">
        <f t="shared" si="27"/>
        <v>-</v>
      </c>
      <c r="BG24" s="9"/>
      <c r="BH24" s="9"/>
      <c r="BI24" s="9"/>
      <c r="BJ24" s="9"/>
      <c r="BZ24" s="9"/>
      <c r="CA24" s="348"/>
      <c r="CB24" s="349"/>
      <c r="CC24" s="350" t="s">
        <v>58</v>
      </c>
      <c r="CD24" s="351"/>
      <c r="CE24" s="352">
        <f>SUM(CE17:CE23)</f>
        <v>0</v>
      </c>
      <c r="CF24" s="353">
        <f>SUM(CF17:CF23)</f>
        <v>0</v>
      </c>
      <c r="CG24" s="352">
        <f t="shared" si="32"/>
        <v>0</v>
      </c>
      <c r="CH24" s="354"/>
      <c r="CI24" s="9"/>
      <c r="CL24" s="9"/>
      <c r="CM24" s="9"/>
      <c r="CN24" s="9"/>
      <c r="CO24" s="9"/>
      <c r="CP24" s="9"/>
      <c r="CQ24" s="9"/>
      <c r="CR24" s="9"/>
      <c r="CS24" s="9"/>
      <c r="DI24" s="9"/>
      <c r="DJ24" s="484"/>
      <c r="DK24" s="485"/>
      <c r="DL24" s="9" t="str">
        <f t="shared" si="0"/>
        <v>-</v>
      </c>
      <c r="DM24" s="485"/>
      <c r="DN24" s="485"/>
      <c r="DO24" s="279" t="str">
        <f t="shared" si="14"/>
        <v/>
      </c>
      <c r="DP24" s="485"/>
      <c r="DQ24" s="278" t="str">
        <f t="shared" si="15"/>
        <v/>
      </c>
      <c r="DR24" s="9"/>
      <c r="DS24" s="9"/>
      <c r="DT24" s="9"/>
      <c r="DU24" s="9"/>
      <c r="DX24" s="9"/>
      <c r="DY24" s="396"/>
      <c r="DZ24" s="626" t="s">
        <v>128</v>
      </c>
      <c r="EA24" s="626"/>
      <c r="EB24" s="397">
        <f>SUM(EB12:EB23)</f>
        <v>0</v>
      </c>
      <c r="EC24" s="9"/>
      <c r="ED24" s="9"/>
      <c r="EE24" s="9"/>
      <c r="EF24" s="9"/>
    </row>
    <row r="25" spans="39:146" ht="18.95" customHeight="1" thickBot="1" x14ac:dyDescent="0.3">
      <c r="AM25" s="259">
        <v>20</v>
      </c>
      <c r="AN25" s="310" t="str">
        <f t="shared" si="29"/>
        <v>-</v>
      </c>
      <c r="AO25" s="9" t="str">
        <f t="shared" si="16"/>
        <v>-</v>
      </c>
      <c r="AP25" s="289" t="str">
        <f t="shared" si="17"/>
        <v>-</v>
      </c>
      <c r="AQ25" s="9" t="str">
        <f t="shared" si="18"/>
        <v>-</v>
      </c>
      <c r="AR25" s="453"/>
      <c r="AS25" s="453"/>
      <c r="AT25" s="229" t="str">
        <f t="shared" si="19"/>
        <v>-</v>
      </c>
      <c r="AU25" s="290" t="str">
        <f t="shared" si="20"/>
        <v>N/A</v>
      </c>
      <c r="AV25" s="453"/>
      <c r="AW25" s="293" t="str">
        <f t="shared" si="7"/>
        <v>N/A</v>
      </c>
      <c r="AX25" s="453"/>
      <c r="AY25" s="290" t="str">
        <f t="shared" si="21"/>
        <v>N/A</v>
      </c>
      <c r="AZ25" s="453"/>
      <c r="BA25" s="291" t="str">
        <f t="shared" si="22"/>
        <v>N/A</v>
      </c>
      <c r="BB25" s="292" t="str">
        <f t="shared" si="23"/>
        <v>-</v>
      </c>
      <c r="BC25" s="512" t="str">
        <f t="shared" si="24"/>
        <v>-</v>
      </c>
      <c r="BD25" s="293" t="str">
        <f t="shared" si="25"/>
        <v>-</v>
      </c>
      <c r="BE25" s="293" t="str">
        <f t="shared" si="26"/>
        <v>-</v>
      </c>
      <c r="BF25" s="294" t="str">
        <f t="shared" si="27"/>
        <v>-</v>
      </c>
      <c r="BG25" s="9"/>
      <c r="BH25" s="9"/>
      <c r="BI25" s="9"/>
      <c r="BJ25" s="9"/>
      <c r="BZ25" s="9"/>
      <c r="CA25" s="363"/>
      <c r="CB25" s="364"/>
      <c r="CC25" s="365"/>
      <c r="CD25" s="366" t="s">
        <v>208</v>
      </c>
      <c r="CE25" s="366"/>
      <c r="CF25" s="367"/>
      <c r="CG25" s="367"/>
      <c r="CH25" s="368">
        <f>SUMPRODUCT(CF17:CF23,CH17:CH23,CC17:CC23)</f>
        <v>0</v>
      </c>
      <c r="CI25" s="9"/>
      <c r="CL25" s="9"/>
      <c r="CM25" s="9"/>
      <c r="CN25" s="9"/>
      <c r="CO25" s="9"/>
      <c r="CP25" s="9"/>
      <c r="CQ25" s="9"/>
      <c r="CR25" s="9"/>
      <c r="CS25" s="9"/>
      <c r="DI25" s="9"/>
      <c r="DJ25" s="484"/>
      <c r="DK25" s="485"/>
      <c r="DL25" s="9" t="str">
        <f t="shared" si="0"/>
        <v>-</v>
      </c>
      <c r="DM25" s="485"/>
      <c r="DN25" s="485"/>
      <c r="DO25" s="279" t="str">
        <f t="shared" si="14"/>
        <v/>
      </c>
      <c r="DP25" s="485"/>
      <c r="DQ25" s="278" t="str">
        <f t="shared" si="15"/>
        <v/>
      </c>
      <c r="DR25" s="9"/>
      <c r="DS25" s="9"/>
      <c r="DT25" s="9"/>
      <c r="DU25" s="9"/>
      <c r="DX25" s="9"/>
      <c r="DY25" s="384"/>
      <c r="DZ25" s="627" t="s">
        <v>372</v>
      </c>
      <c r="EA25" s="627" t="s">
        <v>137</v>
      </c>
      <c r="EB25" s="398">
        <f>EB10-EB24</f>
        <v>0</v>
      </c>
      <c r="EC25" s="9"/>
      <c r="ED25" s="9"/>
      <c r="EE25" s="9"/>
      <c r="EF25" s="9"/>
    </row>
    <row r="26" spans="39:146" ht="18.95" customHeight="1" thickBot="1" x14ac:dyDescent="0.3">
      <c r="AM26" s="259">
        <v>21</v>
      </c>
      <c r="AN26" s="310" t="str">
        <f t="shared" si="29"/>
        <v>-</v>
      </c>
      <c r="AO26" s="9" t="str">
        <f t="shared" si="16"/>
        <v>-</v>
      </c>
      <c r="AP26" s="289" t="str">
        <f t="shared" si="17"/>
        <v>-</v>
      </c>
      <c r="AQ26" s="9" t="str">
        <f t="shared" si="18"/>
        <v>-</v>
      </c>
      <c r="AR26" s="453"/>
      <c r="AS26" s="453"/>
      <c r="AT26" s="229" t="str">
        <f t="shared" si="19"/>
        <v>-</v>
      </c>
      <c r="AU26" s="290" t="str">
        <f t="shared" si="20"/>
        <v>N/A</v>
      </c>
      <c r="AV26" s="453"/>
      <c r="AW26" s="290" t="str">
        <f t="shared" si="7"/>
        <v>N/A</v>
      </c>
      <c r="AX26" s="453"/>
      <c r="AY26" s="290" t="str">
        <f t="shared" si="21"/>
        <v>N/A</v>
      </c>
      <c r="AZ26" s="453"/>
      <c r="BA26" s="291" t="str">
        <f t="shared" si="22"/>
        <v>N/A</v>
      </c>
      <c r="BB26" s="292" t="str">
        <f t="shared" si="23"/>
        <v>-</v>
      </c>
      <c r="BC26" s="512" t="str">
        <f t="shared" si="24"/>
        <v>-</v>
      </c>
      <c r="BD26" s="293" t="str">
        <f t="shared" si="25"/>
        <v>-</v>
      </c>
      <c r="BE26" s="293" t="str">
        <f t="shared" si="26"/>
        <v>-</v>
      </c>
      <c r="BF26" s="294" t="str">
        <f t="shared" si="27"/>
        <v>-</v>
      </c>
      <c r="BG26" s="9"/>
      <c r="BH26" s="9"/>
      <c r="BI26" s="9"/>
      <c r="BJ26" s="9"/>
      <c r="BZ26" s="9"/>
      <c r="CA26" s="9"/>
      <c r="CB26" s="9"/>
      <c r="CC26" s="9"/>
      <c r="CD26" s="9"/>
      <c r="CE26" s="9"/>
      <c r="CF26" s="9"/>
      <c r="CG26" s="9"/>
      <c r="CH26" s="9"/>
      <c r="CI26" s="9"/>
      <c r="CM26" s="390"/>
      <c r="CN26" s="390"/>
      <c r="CO26" s="390"/>
      <c r="DI26" s="9"/>
      <c r="DJ26" s="484"/>
      <c r="DK26" s="485"/>
      <c r="DL26" s="9" t="str">
        <f t="shared" si="0"/>
        <v>-</v>
      </c>
      <c r="DM26" s="485"/>
      <c r="DN26" s="485"/>
      <c r="DO26" s="279" t="str">
        <f t="shared" si="14"/>
        <v/>
      </c>
      <c r="DP26" s="485"/>
      <c r="DQ26" s="278" t="str">
        <f t="shared" si="15"/>
        <v/>
      </c>
      <c r="DR26" s="9"/>
      <c r="DS26" s="9"/>
      <c r="DT26" s="9"/>
      <c r="DU26" s="9"/>
      <c r="DX26" s="9"/>
      <c r="DY26" s="166"/>
      <c r="DZ26" s="166"/>
      <c r="EA26" s="166"/>
      <c r="EB26" s="166"/>
      <c r="EC26" s="9"/>
      <c r="ED26" s="9"/>
      <c r="EE26" s="9"/>
      <c r="EF26" s="9"/>
    </row>
    <row r="27" spans="39:146" ht="31.5" x14ac:dyDescent="0.25">
      <c r="AM27" s="259">
        <v>22</v>
      </c>
      <c r="AN27" s="310" t="str">
        <f t="shared" si="29"/>
        <v>-</v>
      </c>
      <c r="AO27" s="9" t="str">
        <f t="shared" si="16"/>
        <v>-</v>
      </c>
      <c r="AP27" s="289" t="str">
        <f t="shared" si="17"/>
        <v>-</v>
      </c>
      <c r="AQ27" s="9" t="str">
        <f t="shared" si="18"/>
        <v>-</v>
      </c>
      <c r="AR27" s="453"/>
      <c r="AS27" s="453"/>
      <c r="AT27" s="229" t="str">
        <f t="shared" si="19"/>
        <v>-</v>
      </c>
      <c r="AU27" s="290" t="str">
        <f t="shared" si="20"/>
        <v>N/A</v>
      </c>
      <c r="AV27" s="453"/>
      <c r="AW27" s="290" t="str">
        <f t="shared" si="7"/>
        <v>N/A</v>
      </c>
      <c r="AX27" s="453"/>
      <c r="AY27" s="290" t="str">
        <f t="shared" si="21"/>
        <v>N/A</v>
      </c>
      <c r="AZ27" s="453"/>
      <c r="BA27" s="291" t="str">
        <f t="shared" si="22"/>
        <v>N/A</v>
      </c>
      <c r="BB27" s="292" t="str">
        <f t="shared" si="23"/>
        <v>-</v>
      </c>
      <c r="BC27" s="512" t="str">
        <f t="shared" si="24"/>
        <v>-</v>
      </c>
      <c r="BD27" s="293" t="str">
        <f t="shared" si="25"/>
        <v>-</v>
      </c>
      <c r="BE27" s="293" t="str">
        <f t="shared" si="26"/>
        <v>-</v>
      </c>
      <c r="BF27" s="294" t="str">
        <f t="shared" si="27"/>
        <v>-</v>
      </c>
      <c r="BG27" s="9"/>
      <c r="BH27" s="9"/>
      <c r="BI27" s="9"/>
      <c r="BJ27" s="9"/>
      <c r="BZ27" s="9"/>
      <c r="CA27" s="273" t="str">
        <f>IF(BN9=BN17,"-",BN9)</f>
        <v>-</v>
      </c>
      <c r="CB27" s="54" t="s">
        <v>328</v>
      </c>
      <c r="CC27" s="54" t="s">
        <v>205</v>
      </c>
      <c r="CD27" s="54" t="s">
        <v>95</v>
      </c>
      <c r="CE27" s="54" t="s">
        <v>326</v>
      </c>
      <c r="CF27" s="54" t="s">
        <v>206</v>
      </c>
      <c r="CG27" s="54" t="s">
        <v>234</v>
      </c>
      <c r="CH27" s="274" t="s">
        <v>209</v>
      </c>
      <c r="CI27" s="9"/>
      <c r="DI27" s="9"/>
      <c r="DJ27" s="484"/>
      <c r="DK27" s="485"/>
      <c r="DL27" s="9" t="str">
        <f t="shared" si="0"/>
        <v>-</v>
      </c>
      <c r="DM27" s="485"/>
      <c r="DN27" s="485"/>
      <c r="DO27" s="279" t="str">
        <f t="shared" si="14"/>
        <v/>
      </c>
      <c r="DP27" s="485"/>
      <c r="DQ27" s="278" t="str">
        <f t="shared" si="15"/>
        <v/>
      </c>
      <c r="DR27" s="9"/>
      <c r="DS27" s="9"/>
      <c r="DT27" s="9"/>
      <c r="DU27" s="9"/>
      <c r="DY27" s="183"/>
      <c r="DZ27" s="183"/>
      <c r="EA27" s="183"/>
      <c r="EB27" s="183"/>
    </row>
    <row r="28" spans="39:146" ht="18.95" customHeight="1" x14ac:dyDescent="0.25">
      <c r="AM28" s="259">
        <v>23</v>
      </c>
      <c r="AN28" s="310" t="str">
        <f t="shared" si="29"/>
        <v>-</v>
      </c>
      <c r="AO28" s="9" t="str">
        <f t="shared" si="16"/>
        <v>-</v>
      </c>
      <c r="AP28" s="289" t="str">
        <f t="shared" si="17"/>
        <v>-</v>
      </c>
      <c r="AQ28" s="9" t="str">
        <f t="shared" si="18"/>
        <v>-</v>
      </c>
      <c r="AR28" s="453"/>
      <c r="AS28" s="453"/>
      <c r="AT28" s="229" t="str">
        <f t="shared" si="19"/>
        <v>-</v>
      </c>
      <c r="AU28" s="290" t="str">
        <f t="shared" si="20"/>
        <v>N/A</v>
      </c>
      <c r="AV28" s="453"/>
      <c r="AW28" s="290" t="str">
        <f t="shared" si="7"/>
        <v>N/A</v>
      </c>
      <c r="AX28" s="453"/>
      <c r="AY28" s="290" t="str">
        <f t="shared" si="21"/>
        <v>N/A</v>
      </c>
      <c r="AZ28" s="453"/>
      <c r="BA28" s="291" t="str">
        <f t="shared" si="22"/>
        <v>N/A</v>
      </c>
      <c r="BB28" s="292" t="str">
        <f t="shared" si="23"/>
        <v>-</v>
      </c>
      <c r="BC28" s="512" t="str">
        <f t="shared" si="24"/>
        <v>-</v>
      </c>
      <c r="BD28" s="293" t="str">
        <f t="shared" si="25"/>
        <v>-</v>
      </c>
      <c r="BE28" s="293" t="str">
        <f t="shared" si="26"/>
        <v>-</v>
      </c>
      <c r="BF28" s="294" t="str">
        <f t="shared" si="27"/>
        <v>-</v>
      </c>
      <c r="BG28" s="9"/>
      <c r="BH28" s="9"/>
      <c r="BI28" s="9"/>
      <c r="BJ28" s="9"/>
      <c r="BZ28" s="9"/>
      <c r="CA28" s="476"/>
      <c r="CB28" s="515">
        <f>IFERROR(VLOOKUP(CA28,Feed!$B$4:$H$19,2,FALSE)*($BR$9/$BQ$9)+VLOOKUP(CA28,Feed!$B$4:$H$19,3,FALSE)*($BS$9/$BQ$9)+VLOOKUP(CA28,Feed!$B$4:$H$19,4,FALSE)*($BT$9/$BQ$9)+VLOOKUP(CA28,Feed!$B$4:$H$19,5,FALSE)*($BU$9/$BQ$9),0)</f>
        <v>0</v>
      </c>
      <c r="CC28" s="299" t="str">
        <f t="shared" ref="CC28:CC33" si="35">IFERROR(VLOOKUP($CA28,FeedIngLst,6,FALSE),"-")</f>
        <v>-</v>
      </c>
      <c r="CD28" s="299" t="str">
        <f t="shared" ref="CD28:CD33" si="36">IFERROR(VLOOKUP($CA28,FeedIngLst,7,FALSE),"-")</f>
        <v>-</v>
      </c>
      <c r="CE28" s="482"/>
      <c r="CF28" s="299" t="str">
        <f>IFERROR(CE28/$CE$35,"-")</f>
        <v>-</v>
      </c>
      <c r="CG28" s="300">
        <f t="shared" ref="CG28:CG35" si="37">CE28*$R$15*$BQ$9/2000</f>
        <v>0</v>
      </c>
      <c r="CH28" s="301" t="str">
        <f t="shared" ref="CH28:CH34" si="38">IFERROR($CB28/$CC28/(1-$CD28),"-")</f>
        <v>-</v>
      </c>
      <c r="CI28" s="9"/>
      <c r="DI28" s="9"/>
      <c r="DJ28" s="484"/>
      <c r="DK28" s="485"/>
      <c r="DL28" s="9" t="str">
        <f t="shared" si="0"/>
        <v>-</v>
      </c>
      <c r="DM28" s="485"/>
      <c r="DN28" s="485"/>
      <c r="DO28" s="279" t="str">
        <f t="shared" si="14"/>
        <v/>
      </c>
      <c r="DP28" s="485"/>
      <c r="DQ28" s="278" t="str">
        <f t="shared" si="15"/>
        <v/>
      </c>
      <c r="DR28" s="9"/>
      <c r="DS28" s="9"/>
      <c r="DT28" s="9"/>
      <c r="DU28" s="9"/>
      <c r="DY28" s="183"/>
      <c r="DZ28" s="183"/>
      <c r="EA28" s="183"/>
      <c r="EB28" s="183"/>
    </row>
    <row r="29" spans="39:146" ht="18.95" customHeight="1" x14ac:dyDescent="0.25">
      <c r="AM29" s="259">
        <v>24</v>
      </c>
      <c r="AN29" s="310" t="str">
        <f t="shared" si="29"/>
        <v>-</v>
      </c>
      <c r="AO29" s="9" t="str">
        <f t="shared" si="16"/>
        <v>-</v>
      </c>
      <c r="AP29" s="289" t="str">
        <f t="shared" si="17"/>
        <v>-</v>
      </c>
      <c r="AQ29" s="9" t="str">
        <f t="shared" si="18"/>
        <v>-</v>
      </c>
      <c r="AR29" s="453"/>
      <c r="AS29" s="453"/>
      <c r="AT29" s="229" t="str">
        <f t="shared" si="19"/>
        <v>-</v>
      </c>
      <c r="AU29" s="290" t="str">
        <f t="shared" si="20"/>
        <v>N/A</v>
      </c>
      <c r="AV29" s="453"/>
      <c r="AW29" s="290" t="str">
        <f t="shared" si="7"/>
        <v>N/A</v>
      </c>
      <c r="AX29" s="453"/>
      <c r="AY29" s="290" t="str">
        <f t="shared" si="21"/>
        <v>N/A</v>
      </c>
      <c r="AZ29" s="453"/>
      <c r="BA29" s="291" t="str">
        <f t="shared" si="22"/>
        <v>N/A</v>
      </c>
      <c r="BB29" s="292" t="str">
        <f t="shared" si="23"/>
        <v>-</v>
      </c>
      <c r="BC29" s="512" t="str">
        <f t="shared" si="24"/>
        <v>-</v>
      </c>
      <c r="BD29" s="293" t="str">
        <f t="shared" si="25"/>
        <v>-</v>
      </c>
      <c r="BE29" s="293" t="str">
        <f t="shared" si="26"/>
        <v>-</v>
      </c>
      <c r="BF29" s="294" t="str">
        <f t="shared" si="27"/>
        <v>-</v>
      </c>
      <c r="BG29" s="9"/>
      <c r="BH29" s="9"/>
      <c r="BI29" s="9"/>
      <c r="BJ29" s="9"/>
      <c r="BZ29" s="9"/>
      <c r="CA29" s="476"/>
      <c r="CB29" s="515">
        <f>IFERROR(VLOOKUP(CA29,Feed!$B$4:$H$19,2,FALSE)*($BR$9/$BQ$9)+VLOOKUP(CA29,Feed!$B$4:$H$19,3,FALSE)*($BS$9/$BQ$9)+VLOOKUP(CA29,Feed!$B$4:$H$19,4,FALSE)*($BT$9/$BQ$9)+VLOOKUP(CA29,Feed!$B$4:$H$19,5,FALSE)*($BU$9/$BQ$9),0)</f>
        <v>0</v>
      </c>
      <c r="CC29" s="299" t="str">
        <f t="shared" si="35"/>
        <v>-</v>
      </c>
      <c r="CD29" s="299" t="str">
        <f t="shared" si="36"/>
        <v>-</v>
      </c>
      <c r="CE29" s="482"/>
      <c r="CF29" s="299" t="str">
        <f t="shared" ref="CF29:CF34" si="39">IFERROR(CE29/$CE$35,"-")</f>
        <v>-</v>
      </c>
      <c r="CG29" s="300">
        <f t="shared" si="37"/>
        <v>0</v>
      </c>
      <c r="CH29" s="301" t="str">
        <f t="shared" si="38"/>
        <v>-</v>
      </c>
      <c r="CI29" s="9"/>
      <c r="DI29" s="9"/>
      <c r="DJ29" s="486"/>
      <c r="DK29" s="473"/>
      <c r="DL29" s="399" t="str">
        <f t="shared" si="0"/>
        <v>-</v>
      </c>
      <c r="DM29" s="473"/>
      <c r="DN29" s="473"/>
      <c r="DO29" s="400" t="str">
        <f t="shared" si="14"/>
        <v/>
      </c>
      <c r="DP29" s="473"/>
      <c r="DQ29" s="383" t="str">
        <f t="shared" si="15"/>
        <v/>
      </c>
      <c r="DR29" s="9"/>
      <c r="DS29" s="9"/>
      <c r="DT29" s="9"/>
      <c r="DU29" s="9"/>
      <c r="DY29" s="183"/>
      <c r="DZ29" s="183"/>
      <c r="EA29" s="183"/>
      <c r="EB29" s="183"/>
    </row>
    <row r="30" spans="39:146" ht="18.95" customHeight="1" thickBot="1" x14ac:dyDescent="0.3">
      <c r="AM30" s="259">
        <v>25</v>
      </c>
      <c r="AN30" s="310" t="str">
        <f t="shared" si="29"/>
        <v>-</v>
      </c>
      <c r="AO30" s="9" t="str">
        <f t="shared" si="16"/>
        <v>-</v>
      </c>
      <c r="AP30" s="289" t="str">
        <f t="shared" si="17"/>
        <v>-</v>
      </c>
      <c r="AQ30" s="9" t="str">
        <f t="shared" si="18"/>
        <v>-</v>
      </c>
      <c r="AR30" s="453"/>
      <c r="AS30" s="453"/>
      <c r="AT30" s="229" t="str">
        <f t="shared" si="19"/>
        <v>-</v>
      </c>
      <c r="AU30" s="290" t="str">
        <f t="shared" si="20"/>
        <v>N/A</v>
      </c>
      <c r="AV30" s="453"/>
      <c r="AW30" s="290" t="str">
        <f t="shared" si="7"/>
        <v>N/A</v>
      </c>
      <c r="AX30" s="453"/>
      <c r="AY30" s="290" t="str">
        <f t="shared" si="21"/>
        <v>N/A</v>
      </c>
      <c r="AZ30" s="453"/>
      <c r="BA30" s="291" t="str">
        <f t="shared" si="22"/>
        <v>N/A</v>
      </c>
      <c r="BB30" s="292" t="str">
        <f t="shared" si="23"/>
        <v>-</v>
      </c>
      <c r="BC30" s="512" t="str">
        <f t="shared" si="24"/>
        <v>-</v>
      </c>
      <c r="BD30" s="293" t="str">
        <f t="shared" si="25"/>
        <v>-</v>
      </c>
      <c r="BE30" s="293" t="str">
        <f t="shared" si="26"/>
        <v>-</v>
      </c>
      <c r="BF30" s="294" t="str">
        <f t="shared" si="27"/>
        <v>-</v>
      </c>
      <c r="BG30" s="9"/>
      <c r="BH30" s="9"/>
      <c r="BI30" s="9"/>
      <c r="BJ30" s="9"/>
      <c r="BZ30" s="9"/>
      <c r="CA30" s="476"/>
      <c r="CB30" s="515">
        <f>IFERROR(VLOOKUP(CA30,Feed!$B$4:$H$19,2,FALSE)*($BR$9/$BQ$9)+VLOOKUP(CA30,Feed!$B$4:$H$19,3,FALSE)*($BS$9/$BQ$9)+VLOOKUP(CA30,Feed!$B$4:$H$19,4,FALSE)*($BT$9/$BQ$9)+VLOOKUP(CA30,Feed!$B$4:$H$19,5,FALSE)*($BU$9/$BQ$9),0)</f>
        <v>0</v>
      </c>
      <c r="CC30" s="299" t="str">
        <f t="shared" si="35"/>
        <v>-</v>
      </c>
      <c r="CD30" s="299" t="str">
        <f t="shared" si="36"/>
        <v>-</v>
      </c>
      <c r="CE30" s="482"/>
      <c r="CF30" s="299" t="str">
        <f t="shared" si="39"/>
        <v>-</v>
      </c>
      <c r="CG30" s="300">
        <f t="shared" si="37"/>
        <v>0</v>
      </c>
      <c r="CH30" s="301" t="str">
        <f t="shared" si="38"/>
        <v>-</v>
      </c>
      <c r="CI30" s="9"/>
      <c r="DI30" s="9"/>
      <c r="DJ30" s="384"/>
      <c r="DK30" s="385"/>
      <c r="DL30" s="385"/>
      <c r="DM30" s="385"/>
      <c r="DN30" s="385"/>
      <c r="DO30" s="386" t="s">
        <v>236</v>
      </c>
      <c r="DP30" s="370"/>
      <c r="DQ30" s="387">
        <f>SUM(DQ5:DQ29)</f>
        <v>0</v>
      </c>
      <c r="DR30" s="9"/>
      <c r="DS30" s="9"/>
      <c r="DT30" s="9"/>
      <c r="DU30" s="9"/>
      <c r="DY30" s="183"/>
      <c r="DZ30" s="183"/>
      <c r="EA30" s="183"/>
      <c r="EB30" s="183"/>
    </row>
    <row r="31" spans="39:146" ht="18.95" customHeight="1" x14ac:dyDescent="0.25">
      <c r="AM31" s="259">
        <v>26</v>
      </c>
      <c r="AN31" s="310" t="str">
        <f t="shared" si="29"/>
        <v>-</v>
      </c>
      <c r="AO31" s="9" t="str">
        <f t="shared" si="16"/>
        <v>-</v>
      </c>
      <c r="AP31" s="289" t="str">
        <f t="shared" si="17"/>
        <v>-</v>
      </c>
      <c r="AQ31" s="9" t="str">
        <f t="shared" si="18"/>
        <v>-</v>
      </c>
      <c r="AR31" s="453"/>
      <c r="AS31" s="453"/>
      <c r="AT31" s="229" t="str">
        <f t="shared" si="19"/>
        <v>-</v>
      </c>
      <c r="AU31" s="290" t="str">
        <f t="shared" si="20"/>
        <v>N/A</v>
      </c>
      <c r="AV31" s="453"/>
      <c r="AW31" s="290" t="str">
        <f t="shared" si="7"/>
        <v>N/A</v>
      </c>
      <c r="AX31" s="453"/>
      <c r="AY31" s="290" t="str">
        <f t="shared" si="21"/>
        <v>N/A</v>
      </c>
      <c r="AZ31" s="453"/>
      <c r="BA31" s="291" t="str">
        <f t="shared" si="22"/>
        <v>N/A</v>
      </c>
      <c r="BB31" s="292" t="str">
        <f t="shared" si="23"/>
        <v>-</v>
      </c>
      <c r="BC31" s="512" t="str">
        <f t="shared" si="24"/>
        <v>-</v>
      </c>
      <c r="BD31" s="293" t="str">
        <f t="shared" si="25"/>
        <v>-</v>
      </c>
      <c r="BE31" s="293" t="str">
        <f t="shared" si="26"/>
        <v>-</v>
      </c>
      <c r="BF31" s="294" t="str">
        <f t="shared" si="27"/>
        <v>-</v>
      </c>
      <c r="BG31" s="9"/>
      <c r="BH31" s="9"/>
      <c r="BI31" s="9"/>
      <c r="BJ31" s="9"/>
      <c r="BZ31" s="9"/>
      <c r="CA31" s="476"/>
      <c r="CB31" s="515">
        <f>IFERROR(VLOOKUP(CA31,Feed!$B$4:$H$19,2,FALSE)*($BR$9/$BQ$9)+VLOOKUP(CA31,Feed!$B$4:$H$19,3,FALSE)*($BS$9/$BQ$9)+VLOOKUP(CA31,Feed!$B$4:$H$19,4,FALSE)*($BT$9/$BQ$9)+VLOOKUP(CA31,Feed!$B$4:$H$19,5,FALSE)*($BU$9/$BQ$9),0)</f>
        <v>0</v>
      </c>
      <c r="CC31" s="299" t="str">
        <f t="shared" si="35"/>
        <v>-</v>
      </c>
      <c r="CD31" s="299" t="str">
        <f t="shared" si="36"/>
        <v>-</v>
      </c>
      <c r="CE31" s="482"/>
      <c r="CF31" s="299" t="str">
        <f t="shared" si="39"/>
        <v>-</v>
      </c>
      <c r="CG31" s="300">
        <f t="shared" si="37"/>
        <v>0</v>
      </c>
      <c r="CH31" s="301" t="str">
        <f t="shared" si="38"/>
        <v>-</v>
      </c>
      <c r="CI31" s="9"/>
      <c r="DI31" s="9"/>
      <c r="DJ31" s="9"/>
      <c r="DK31" s="9"/>
      <c r="DL31" s="9"/>
      <c r="DM31" s="9"/>
      <c r="DN31" s="9"/>
      <c r="DO31" s="9"/>
      <c r="DP31" s="9"/>
      <c r="DQ31" s="9"/>
      <c r="DR31" s="9"/>
      <c r="DS31" s="9"/>
      <c r="DT31" s="9"/>
      <c r="DU31" s="9"/>
    </row>
    <row r="32" spans="39:146" ht="18.95" customHeight="1" x14ac:dyDescent="0.25">
      <c r="AM32" s="259">
        <v>27</v>
      </c>
      <c r="AN32" s="310" t="str">
        <f t="shared" si="29"/>
        <v>-</v>
      </c>
      <c r="AO32" s="9" t="str">
        <f t="shared" si="16"/>
        <v>-</v>
      </c>
      <c r="AP32" s="289" t="str">
        <f t="shared" si="17"/>
        <v>-</v>
      </c>
      <c r="AQ32" s="9" t="str">
        <f t="shared" si="18"/>
        <v>-</v>
      </c>
      <c r="AR32" s="453"/>
      <c r="AS32" s="453"/>
      <c r="AT32" s="229" t="str">
        <f t="shared" si="19"/>
        <v>-</v>
      </c>
      <c r="AU32" s="290" t="str">
        <f t="shared" si="20"/>
        <v>N/A</v>
      </c>
      <c r="AV32" s="453"/>
      <c r="AW32" s="290" t="str">
        <f t="shared" si="7"/>
        <v>N/A</v>
      </c>
      <c r="AX32" s="453"/>
      <c r="AY32" s="290" t="str">
        <f t="shared" si="21"/>
        <v>N/A</v>
      </c>
      <c r="AZ32" s="453"/>
      <c r="BA32" s="291" t="str">
        <f t="shared" si="22"/>
        <v>N/A</v>
      </c>
      <c r="BB32" s="292" t="str">
        <f t="shared" si="23"/>
        <v>-</v>
      </c>
      <c r="BC32" s="512" t="str">
        <f t="shared" si="24"/>
        <v>-</v>
      </c>
      <c r="BD32" s="293" t="str">
        <f t="shared" si="25"/>
        <v>-</v>
      </c>
      <c r="BE32" s="293" t="str">
        <f t="shared" si="26"/>
        <v>-</v>
      </c>
      <c r="BF32" s="294" t="str">
        <f t="shared" si="27"/>
        <v>-</v>
      </c>
      <c r="BG32" s="9"/>
      <c r="BH32" s="9"/>
      <c r="BI32" s="9"/>
      <c r="BJ32" s="9"/>
      <c r="BZ32" s="9"/>
      <c r="CA32" s="476"/>
      <c r="CB32" s="515">
        <f>IFERROR(VLOOKUP(CA32,Feed!$B$4:$H$19,2,FALSE)*($BR$9/$BQ$9)+VLOOKUP(CA32,Feed!$B$4:$H$19,3,FALSE)*($BS$9/$BQ$9)+VLOOKUP(CA32,Feed!$B$4:$H$19,4,FALSE)*($BT$9/$BQ$9)+VLOOKUP(CA32,Feed!$B$4:$H$19,5,FALSE)*($BU$9/$BQ$9),0)</f>
        <v>0</v>
      </c>
      <c r="CC32" s="299" t="str">
        <f t="shared" si="35"/>
        <v>-</v>
      </c>
      <c r="CD32" s="299" t="str">
        <f t="shared" si="36"/>
        <v>-</v>
      </c>
      <c r="CE32" s="482"/>
      <c r="CF32" s="299" t="str">
        <f t="shared" si="39"/>
        <v>-</v>
      </c>
      <c r="CG32" s="300">
        <f t="shared" si="37"/>
        <v>0</v>
      </c>
      <c r="CH32" s="301" t="str">
        <f t="shared" si="38"/>
        <v>-</v>
      </c>
      <c r="CI32" s="9"/>
    </row>
    <row r="33" spans="39:87" ht="18.95" customHeight="1" x14ac:dyDescent="0.25">
      <c r="AM33" s="259">
        <v>28</v>
      </c>
      <c r="AN33" s="310" t="str">
        <f t="shared" si="29"/>
        <v>-</v>
      </c>
      <c r="AO33" s="9" t="str">
        <f t="shared" si="16"/>
        <v>-</v>
      </c>
      <c r="AP33" s="289" t="str">
        <f t="shared" si="17"/>
        <v>-</v>
      </c>
      <c r="AQ33" s="9" t="str">
        <f t="shared" si="18"/>
        <v>-</v>
      </c>
      <c r="AR33" s="453"/>
      <c r="AS33" s="453"/>
      <c r="AT33" s="229" t="str">
        <f t="shared" si="19"/>
        <v>-</v>
      </c>
      <c r="AU33" s="290" t="str">
        <f t="shared" si="20"/>
        <v>N/A</v>
      </c>
      <c r="AV33" s="453"/>
      <c r="AW33" s="290" t="str">
        <f t="shared" si="7"/>
        <v>N/A</v>
      </c>
      <c r="AX33" s="453"/>
      <c r="AY33" s="290" t="str">
        <f t="shared" si="21"/>
        <v>N/A</v>
      </c>
      <c r="AZ33" s="453"/>
      <c r="BA33" s="291" t="str">
        <f t="shared" si="22"/>
        <v>N/A</v>
      </c>
      <c r="BB33" s="292" t="str">
        <f t="shared" si="23"/>
        <v>-</v>
      </c>
      <c r="BC33" s="512" t="str">
        <f t="shared" si="24"/>
        <v>-</v>
      </c>
      <c r="BD33" s="293" t="str">
        <f t="shared" si="25"/>
        <v>-</v>
      </c>
      <c r="BE33" s="293" t="str">
        <f t="shared" si="26"/>
        <v>-</v>
      </c>
      <c r="BF33" s="294" t="str">
        <f t="shared" si="27"/>
        <v>-</v>
      </c>
      <c r="BG33" s="9"/>
      <c r="BH33" s="9"/>
      <c r="BI33" s="9"/>
      <c r="BJ33" s="9"/>
      <c r="BZ33" s="9"/>
      <c r="CA33" s="476"/>
      <c r="CB33" s="515">
        <f>IFERROR(VLOOKUP(CA33,Feed!$B$4:$H$19,2,FALSE)*($BR$9/$BQ$9)+VLOOKUP(CA33,Feed!$B$4:$H$19,3,FALSE)*($BS$9/$BQ$9)+VLOOKUP(CA33,Feed!$B$4:$H$19,4,FALSE)*($BT$9/$BQ$9)+VLOOKUP(CA33,Feed!$B$4:$H$19,5,FALSE)*($BU$9/$BQ$9),0)</f>
        <v>0</v>
      </c>
      <c r="CC33" s="299" t="str">
        <f t="shared" si="35"/>
        <v>-</v>
      </c>
      <c r="CD33" s="299" t="str">
        <f t="shared" si="36"/>
        <v>-</v>
      </c>
      <c r="CE33" s="482"/>
      <c r="CF33" s="299" t="str">
        <f t="shared" si="39"/>
        <v>-</v>
      </c>
      <c r="CG33" s="300">
        <f t="shared" si="37"/>
        <v>0</v>
      </c>
      <c r="CH33" s="301" t="str">
        <f t="shared" si="38"/>
        <v>-</v>
      </c>
      <c r="CI33" s="9"/>
    </row>
    <row r="34" spans="39:87" ht="18.95" customHeight="1" x14ac:dyDescent="0.25">
      <c r="AM34" s="259">
        <v>29</v>
      </c>
      <c r="AN34" s="310" t="str">
        <f t="shared" si="29"/>
        <v>-</v>
      </c>
      <c r="AO34" s="9" t="str">
        <f t="shared" si="16"/>
        <v>-</v>
      </c>
      <c r="AP34" s="289" t="str">
        <f t="shared" si="17"/>
        <v>-</v>
      </c>
      <c r="AQ34" s="9" t="str">
        <f t="shared" si="18"/>
        <v>-</v>
      </c>
      <c r="AR34" s="453"/>
      <c r="AS34" s="453"/>
      <c r="AT34" s="229" t="str">
        <f t="shared" si="19"/>
        <v>-</v>
      </c>
      <c r="AU34" s="290" t="str">
        <f t="shared" si="20"/>
        <v>N/A</v>
      </c>
      <c r="AV34" s="453"/>
      <c r="AW34" s="290" t="str">
        <f t="shared" si="7"/>
        <v>N/A</v>
      </c>
      <c r="AX34" s="453"/>
      <c r="AY34" s="290" t="str">
        <f t="shared" si="21"/>
        <v>N/A</v>
      </c>
      <c r="AZ34" s="453"/>
      <c r="BA34" s="291" t="str">
        <f t="shared" si="22"/>
        <v>N/A</v>
      </c>
      <c r="BB34" s="292" t="str">
        <f t="shared" si="23"/>
        <v>-</v>
      </c>
      <c r="BC34" s="512" t="str">
        <f t="shared" si="24"/>
        <v>-</v>
      </c>
      <c r="BD34" s="293" t="str">
        <f t="shared" si="25"/>
        <v>-</v>
      </c>
      <c r="BE34" s="293" t="str">
        <f t="shared" si="26"/>
        <v>-</v>
      </c>
      <c r="BF34" s="294" t="str">
        <f t="shared" si="27"/>
        <v>-</v>
      </c>
      <c r="BG34" s="9"/>
      <c r="BH34" s="9"/>
      <c r="BI34" s="9"/>
      <c r="BJ34" s="9"/>
      <c r="BZ34" s="9"/>
      <c r="CA34" s="338" t="s">
        <v>330</v>
      </c>
      <c r="CB34" s="516">
        <f>'AUM Evaluator'!$S$9*$CB$61</f>
        <v>78.359787947924048</v>
      </c>
      <c r="CC34" s="299">
        <v>1</v>
      </c>
      <c r="CD34" s="340">
        <v>0</v>
      </c>
      <c r="CE34" s="483"/>
      <c r="CF34" s="341" t="str">
        <f t="shared" si="39"/>
        <v>-</v>
      </c>
      <c r="CG34" s="342">
        <f t="shared" si="37"/>
        <v>0</v>
      </c>
      <c r="CH34" s="343">
        <f t="shared" si="38"/>
        <v>78.359787947924048</v>
      </c>
      <c r="CI34" s="9"/>
    </row>
    <row r="35" spans="39:87" ht="18.95" customHeight="1" x14ac:dyDescent="0.25">
      <c r="AM35" s="259">
        <v>30</v>
      </c>
      <c r="AN35" s="310" t="str">
        <f t="shared" si="29"/>
        <v>-</v>
      </c>
      <c r="AO35" s="9" t="str">
        <f t="shared" si="16"/>
        <v>-</v>
      </c>
      <c r="AP35" s="289" t="str">
        <f t="shared" si="17"/>
        <v>-</v>
      </c>
      <c r="AQ35" s="9" t="str">
        <f t="shared" si="18"/>
        <v>-</v>
      </c>
      <c r="AR35" s="453"/>
      <c r="AS35" s="453"/>
      <c r="AT35" s="229" t="str">
        <f t="shared" si="19"/>
        <v>-</v>
      </c>
      <c r="AU35" s="290" t="str">
        <f t="shared" si="20"/>
        <v>N/A</v>
      </c>
      <c r="AV35" s="453"/>
      <c r="AW35" s="290" t="str">
        <f t="shared" si="7"/>
        <v>N/A</v>
      </c>
      <c r="AX35" s="453"/>
      <c r="AY35" s="290" t="str">
        <f t="shared" si="21"/>
        <v>N/A</v>
      </c>
      <c r="AZ35" s="453"/>
      <c r="BA35" s="291" t="str">
        <f t="shared" si="22"/>
        <v>N/A</v>
      </c>
      <c r="BB35" s="292" t="str">
        <f t="shared" si="23"/>
        <v>-</v>
      </c>
      <c r="BC35" s="512" t="str">
        <f t="shared" si="24"/>
        <v>-</v>
      </c>
      <c r="BD35" s="293" t="str">
        <f t="shared" si="25"/>
        <v>-</v>
      </c>
      <c r="BE35" s="293" t="str">
        <f t="shared" si="26"/>
        <v>-</v>
      </c>
      <c r="BF35" s="294" t="str">
        <f t="shared" si="27"/>
        <v>-</v>
      </c>
      <c r="BG35" s="9"/>
      <c r="BH35" s="9"/>
      <c r="BI35" s="9"/>
      <c r="BJ35" s="9"/>
      <c r="BZ35" s="9"/>
      <c r="CA35" s="348"/>
      <c r="CB35" s="349"/>
      <c r="CC35" s="350" t="s">
        <v>58</v>
      </c>
      <c r="CD35" s="351"/>
      <c r="CE35" s="352">
        <f>SUM(CE28:CE34)</f>
        <v>0</v>
      </c>
      <c r="CF35" s="353">
        <f>SUM(CF28:CF34)</f>
        <v>0</v>
      </c>
      <c r="CG35" s="352">
        <f t="shared" si="37"/>
        <v>0</v>
      </c>
      <c r="CH35" s="354"/>
      <c r="CI35" s="9"/>
    </row>
    <row r="36" spans="39:87" ht="18.95" customHeight="1" thickBot="1" x14ac:dyDescent="0.3">
      <c r="AM36" s="259">
        <v>31</v>
      </c>
      <c r="AN36" s="310" t="str">
        <f t="shared" si="29"/>
        <v>-</v>
      </c>
      <c r="AO36" s="9" t="str">
        <f t="shared" si="16"/>
        <v>-</v>
      </c>
      <c r="AP36" s="289" t="str">
        <f t="shared" si="17"/>
        <v>-</v>
      </c>
      <c r="AQ36" s="9" t="str">
        <f t="shared" si="18"/>
        <v>-</v>
      </c>
      <c r="AR36" s="453"/>
      <c r="AS36" s="453"/>
      <c r="AT36" s="229" t="str">
        <f t="shared" si="19"/>
        <v>-</v>
      </c>
      <c r="AU36" s="290" t="str">
        <f t="shared" si="20"/>
        <v>N/A</v>
      </c>
      <c r="AV36" s="453"/>
      <c r="AW36" s="290" t="str">
        <f t="shared" si="7"/>
        <v>N/A</v>
      </c>
      <c r="AX36" s="453"/>
      <c r="AY36" s="290" t="str">
        <f t="shared" si="21"/>
        <v>N/A</v>
      </c>
      <c r="AZ36" s="453"/>
      <c r="BA36" s="291" t="str">
        <f t="shared" si="22"/>
        <v>N/A</v>
      </c>
      <c r="BB36" s="292" t="str">
        <f t="shared" si="23"/>
        <v>-</v>
      </c>
      <c r="BC36" s="512" t="str">
        <f t="shared" si="24"/>
        <v>-</v>
      </c>
      <c r="BD36" s="293" t="str">
        <f t="shared" si="25"/>
        <v>-</v>
      </c>
      <c r="BE36" s="293" t="str">
        <f t="shared" si="26"/>
        <v>-</v>
      </c>
      <c r="BF36" s="294" t="str">
        <f t="shared" si="27"/>
        <v>-</v>
      </c>
      <c r="BG36" s="9"/>
      <c r="BH36" s="9"/>
      <c r="BI36" s="9"/>
      <c r="BJ36" s="9"/>
      <c r="BZ36" s="9"/>
      <c r="CA36" s="363"/>
      <c r="CB36" s="364"/>
      <c r="CC36" s="365"/>
      <c r="CD36" s="366" t="s">
        <v>208</v>
      </c>
      <c r="CE36" s="366"/>
      <c r="CF36" s="367"/>
      <c r="CG36" s="367"/>
      <c r="CH36" s="368">
        <f>SUMPRODUCT(CF28:CF34,CH28:CH34,CC28:CC34)</f>
        <v>0</v>
      </c>
      <c r="CI36" s="9"/>
    </row>
    <row r="37" spans="39:87" ht="18.95" customHeight="1" thickBot="1" x14ac:dyDescent="0.3">
      <c r="AM37" s="259">
        <v>32</v>
      </c>
      <c r="AN37" s="310" t="str">
        <f t="shared" si="29"/>
        <v>-</v>
      </c>
      <c r="AO37" s="9" t="str">
        <f t="shared" si="16"/>
        <v>-</v>
      </c>
      <c r="AP37" s="289" t="str">
        <f t="shared" si="17"/>
        <v>-</v>
      </c>
      <c r="AQ37" s="9" t="str">
        <f t="shared" si="18"/>
        <v>-</v>
      </c>
      <c r="AR37" s="453"/>
      <c r="AS37" s="453"/>
      <c r="AT37" s="229" t="str">
        <f t="shared" si="19"/>
        <v>-</v>
      </c>
      <c r="AU37" s="290" t="str">
        <f t="shared" si="20"/>
        <v>N/A</v>
      </c>
      <c r="AV37" s="453"/>
      <c r="AW37" s="290" t="str">
        <f t="shared" si="7"/>
        <v>N/A</v>
      </c>
      <c r="AX37" s="453"/>
      <c r="AY37" s="290" t="str">
        <f t="shared" si="21"/>
        <v>N/A</v>
      </c>
      <c r="AZ37" s="453"/>
      <c r="BA37" s="291" t="str">
        <f t="shared" si="22"/>
        <v>N/A</v>
      </c>
      <c r="BB37" s="292" t="str">
        <f t="shared" si="23"/>
        <v>-</v>
      </c>
      <c r="BC37" s="512" t="str">
        <f t="shared" si="24"/>
        <v>-</v>
      </c>
      <c r="BD37" s="293" t="str">
        <f t="shared" si="25"/>
        <v>-</v>
      </c>
      <c r="BE37" s="293" t="str">
        <f t="shared" si="26"/>
        <v>-</v>
      </c>
      <c r="BF37" s="294" t="str">
        <f t="shared" si="27"/>
        <v>-</v>
      </c>
      <c r="BG37" s="9"/>
      <c r="BH37" s="9"/>
      <c r="BI37" s="9"/>
      <c r="BJ37" s="9"/>
      <c r="BZ37" s="9"/>
      <c r="CA37" s="9"/>
      <c r="CB37" s="9"/>
      <c r="CC37" s="9"/>
      <c r="CD37" s="9"/>
      <c r="CE37" s="9"/>
      <c r="CF37" s="9"/>
      <c r="CG37" s="9"/>
      <c r="CH37" s="9"/>
      <c r="CI37" s="9"/>
    </row>
    <row r="38" spans="39:87" ht="31.5" x14ac:dyDescent="0.25">
      <c r="AM38" s="259">
        <v>33</v>
      </c>
      <c r="AN38" s="310" t="str">
        <f t="shared" si="29"/>
        <v>-</v>
      </c>
      <c r="AO38" s="9" t="str">
        <f t="shared" si="16"/>
        <v>-</v>
      </c>
      <c r="AP38" s="289" t="str">
        <f t="shared" si="17"/>
        <v>-</v>
      </c>
      <c r="AQ38" s="9" t="str">
        <f t="shared" si="18"/>
        <v>-</v>
      </c>
      <c r="AR38" s="453"/>
      <c r="AS38" s="453"/>
      <c r="AT38" s="229" t="str">
        <f t="shared" si="19"/>
        <v>-</v>
      </c>
      <c r="AU38" s="290" t="str">
        <f t="shared" si="20"/>
        <v>N/A</v>
      </c>
      <c r="AV38" s="453"/>
      <c r="AW38" s="290" t="str">
        <f t="shared" si="7"/>
        <v>N/A</v>
      </c>
      <c r="AX38" s="453"/>
      <c r="AY38" s="290" t="str">
        <f t="shared" si="21"/>
        <v>N/A</v>
      </c>
      <c r="AZ38" s="453"/>
      <c r="BA38" s="291" t="str">
        <f t="shared" si="22"/>
        <v>N/A</v>
      </c>
      <c r="BB38" s="292" t="str">
        <f t="shared" si="23"/>
        <v>-</v>
      </c>
      <c r="BC38" s="512" t="str">
        <f t="shared" si="24"/>
        <v>-</v>
      </c>
      <c r="BD38" s="293" t="str">
        <f t="shared" si="25"/>
        <v>-</v>
      </c>
      <c r="BE38" s="293" t="str">
        <f t="shared" si="26"/>
        <v>-</v>
      </c>
      <c r="BF38" s="294" t="str">
        <f t="shared" si="27"/>
        <v>-</v>
      </c>
      <c r="BG38" s="9"/>
      <c r="BH38" s="9"/>
      <c r="BI38" s="9"/>
      <c r="BJ38" s="9"/>
      <c r="BZ38" s="9"/>
      <c r="CA38" s="273" t="str">
        <f>IF(BN10=BN17,"-",BN10)</f>
        <v>-</v>
      </c>
      <c r="CB38" s="54" t="s">
        <v>328</v>
      </c>
      <c r="CC38" s="54" t="s">
        <v>205</v>
      </c>
      <c r="CD38" s="54" t="s">
        <v>95</v>
      </c>
      <c r="CE38" s="54" t="s">
        <v>326</v>
      </c>
      <c r="CF38" s="54" t="s">
        <v>206</v>
      </c>
      <c r="CG38" s="54" t="s">
        <v>234</v>
      </c>
      <c r="CH38" s="274" t="s">
        <v>209</v>
      </c>
      <c r="CI38" s="9"/>
    </row>
    <row r="39" spans="39:87" ht="18.95" customHeight="1" x14ac:dyDescent="0.25">
      <c r="AM39" s="259">
        <v>34</v>
      </c>
      <c r="AN39" s="310" t="str">
        <f t="shared" si="29"/>
        <v>-</v>
      </c>
      <c r="AO39" s="9" t="str">
        <f t="shared" si="16"/>
        <v>-</v>
      </c>
      <c r="AP39" s="289" t="str">
        <f t="shared" si="17"/>
        <v>-</v>
      </c>
      <c r="AQ39" s="9" t="str">
        <f t="shared" si="18"/>
        <v>-</v>
      </c>
      <c r="AR39" s="453"/>
      <c r="AS39" s="453"/>
      <c r="AT39" s="229" t="str">
        <f t="shared" si="19"/>
        <v>-</v>
      </c>
      <c r="AU39" s="290" t="str">
        <f t="shared" si="20"/>
        <v>N/A</v>
      </c>
      <c r="AV39" s="453"/>
      <c r="AW39" s="290" t="str">
        <f t="shared" si="7"/>
        <v>N/A</v>
      </c>
      <c r="AX39" s="453"/>
      <c r="AY39" s="290" t="str">
        <f t="shared" si="21"/>
        <v>N/A</v>
      </c>
      <c r="AZ39" s="453"/>
      <c r="BA39" s="291" t="str">
        <f t="shared" si="22"/>
        <v>N/A</v>
      </c>
      <c r="BB39" s="292" t="str">
        <f t="shared" si="23"/>
        <v>-</v>
      </c>
      <c r="BC39" s="512" t="str">
        <f t="shared" si="24"/>
        <v>-</v>
      </c>
      <c r="BD39" s="293" t="str">
        <f t="shared" si="25"/>
        <v>-</v>
      </c>
      <c r="BE39" s="293" t="str">
        <f t="shared" si="26"/>
        <v>-</v>
      </c>
      <c r="BF39" s="294" t="str">
        <f t="shared" si="27"/>
        <v>-</v>
      </c>
      <c r="BG39" s="9"/>
      <c r="BH39" s="9"/>
      <c r="BI39" s="9"/>
      <c r="BJ39" s="9"/>
      <c r="BZ39" s="9"/>
      <c r="CA39" s="476"/>
      <c r="CB39" s="515">
        <f>IFERROR(VLOOKUP(CA39,Feed!$B$4:$H$19,2,FALSE)*($BR$10/$BQ$10)+VLOOKUP(CA39,Feed!$B$4:$H$19,3,FALSE)*($BS$10/$BQ$10)+VLOOKUP(CA39,Feed!$B$4:$H$19,4,FALSE)*($BT$10/$BQ$10)+VLOOKUP(CA39,Feed!$B$4:$H$19,5,FALSE)*($BU$10/$BQ$10),0)</f>
        <v>0</v>
      </c>
      <c r="CC39" s="299" t="str">
        <f t="shared" ref="CC39:CC44" si="40">IFERROR(VLOOKUP($CA39,FeedIngLst,6,FALSE),"-")</f>
        <v>-</v>
      </c>
      <c r="CD39" s="299" t="str">
        <f t="shared" ref="CD39:CD44" si="41">IFERROR(VLOOKUP($CA39,FeedIngLst,7,FALSE),"-")</f>
        <v>-</v>
      </c>
      <c r="CE39" s="482"/>
      <c r="CF39" s="299" t="str">
        <f>IFERROR(CE39/$CE$46,"-")</f>
        <v>-</v>
      </c>
      <c r="CG39" s="300">
        <f t="shared" ref="CG39:CG46" si="42">CE39*$R$15*$BQ$10/2000</f>
        <v>0</v>
      </c>
      <c r="CH39" s="301" t="str">
        <f t="shared" ref="CH39:CH45" si="43">IFERROR($CB39/$CC39/(1-$CD39),"-")</f>
        <v>-</v>
      </c>
      <c r="CI39" s="9"/>
    </row>
    <row r="40" spans="39:87" ht="18.95" customHeight="1" x14ac:dyDescent="0.25">
      <c r="AM40" s="259">
        <v>35</v>
      </c>
      <c r="AN40" s="310" t="str">
        <f t="shared" si="29"/>
        <v>-</v>
      </c>
      <c r="AO40" s="9" t="str">
        <f t="shared" si="16"/>
        <v>-</v>
      </c>
      <c r="AP40" s="289" t="str">
        <f t="shared" si="17"/>
        <v>-</v>
      </c>
      <c r="AQ40" s="9" t="str">
        <f t="shared" si="18"/>
        <v>-</v>
      </c>
      <c r="AR40" s="453"/>
      <c r="AS40" s="453"/>
      <c r="AT40" s="229" t="str">
        <f t="shared" si="19"/>
        <v>-</v>
      </c>
      <c r="AU40" s="290" t="str">
        <f t="shared" si="20"/>
        <v>N/A</v>
      </c>
      <c r="AV40" s="453"/>
      <c r="AW40" s="290" t="str">
        <f t="shared" si="7"/>
        <v>N/A</v>
      </c>
      <c r="AX40" s="453"/>
      <c r="AY40" s="290" t="str">
        <f t="shared" si="21"/>
        <v>N/A</v>
      </c>
      <c r="AZ40" s="453"/>
      <c r="BA40" s="291" t="str">
        <f t="shared" si="22"/>
        <v>N/A</v>
      </c>
      <c r="BB40" s="292" t="str">
        <f t="shared" si="23"/>
        <v>-</v>
      </c>
      <c r="BC40" s="512" t="str">
        <f t="shared" si="24"/>
        <v>-</v>
      </c>
      <c r="BD40" s="293" t="str">
        <f t="shared" si="25"/>
        <v>-</v>
      </c>
      <c r="BE40" s="293" t="str">
        <f t="shared" si="26"/>
        <v>-</v>
      </c>
      <c r="BF40" s="294" t="str">
        <f t="shared" si="27"/>
        <v>-</v>
      </c>
      <c r="BG40" s="9"/>
      <c r="BH40" s="9"/>
      <c r="BI40" s="9"/>
      <c r="BJ40" s="9"/>
      <c r="BZ40" s="9"/>
      <c r="CA40" s="476"/>
      <c r="CB40" s="515">
        <f>IFERROR(VLOOKUP(CA40,Feed!$B$4:$H$19,2,FALSE)*($BR$10/$BQ$10)+VLOOKUP(CA40,Feed!$B$4:$H$19,3,FALSE)*($BS$10/$BQ$10)+VLOOKUP(CA40,Feed!$B$4:$H$19,4,FALSE)*($BT$10/$BQ$10)+VLOOKUP(CA40,Feed!$B$4:$H$19,5,FALSE)*($BU$10/$BQ$10),0)</f>
        <v>0</v>
      </c>
      <c r="CC40" s="299" t="str">
        <f t="shared" si="40"/>
        <v>-</v>
      </c>
      <c r="CD40" s="299" t="str">
        <f t="shared" si="41"/>
        <v>-</v>
      </c>
      <c r="CE40" s="482"/>
      <c r="CF40" s="299" t="str">
        <f t="shared" ref="CF40:CF45" si="44">IFERROR(CE40/$CE$46,"-")</f>
        <v>-</v>
      </c>
      <c r="CG40" s="300">
        <f t="shared" si="42"/>
        <v>0</v>
      </c>
      <c r="CH40" s="301" t="str">
        <f t="shared" si="43"/>
        <v>-</v>
      </c>
      <c r="CI40" s="9"/>
    </row>
    <row r="41" spans="39:87" ht="18.95" customHeight="1" x14ac:dyDescent="0.25">
      <c r="AM41" s="259">
        <v>36</v>
      </c>
      <c r="AN41" s="310" t="str">
        <f t="shared" si="29"/>
        <v>-</v>
      </c>
      <c r="AO41" s="9" t="str">
        <f t="shared" si="16"/>
        <v>-</v>
      </c>
      <c r="AP41" s="289" t="str">
        <f t="shared" si="17"/>
        <v>-</v>
      </c>
      <c r="AQ41" s="9" t="str">
        <f t="shared" si="18"/>
        <v>-</v>
      </c>
      <c r="AR41" s="453"/>
      <c r="AS41" s="453"/>
      <c r="AT41" s="229" t="str">
        <f t="shared" si="19"/>
        <v>-</v>
      </c>
      <c r="AU41" s="290" t="str">
        <f t="shared" si="20"/>
        <v>N/A</v>
      </c>
      <c r="AV41" s="453"/>
      <c r="AW41" s="290" t="str">
        <f t="shared" si="7"/>
        <v>N/A</v>
      </c>
      <c r="AX41" s="453"/>
      <c r="AY41" s="290" t="str">
        <f t="shared" si="21"/>
        <v>N/A</v>
      </c>
      <c r="AZ41" s="453"/>
      <c r="BA41" s="291" t="str">
        <f t="shared" si="22"/>
        <v>N/A</v>
      </c>
      <c r="BB41" s="292" t="str">
        <f t="shared" si="23"/>
        <v>-</v>
      </c>
      <c r="BC41" s="512" t="str">
        <f t="shared" si="24"/>
        <v>-</v>
      </c>
      <c r="BD41" s="293" t="str">
        <f t="shared" si="25"/>
        <v>-</v>
      </c>
      <c r="BE41" s="293" t="str">
        <f t="shared" si="26"/>
        <v>-</v>
      </c>
      <c r="BF41" s="294" t="str">
        <f t="shared" si="27"/>
        <v>-</v>
      </c>
      <c r="BG41" s="9"/>
      <c r="BH41" s="9"/>
      <c r="BI41" s="9"/>
      <c r="BJ41" s="9"/>
      <c r="BZ41" s="9"/>
      <c r="CA41" s="476"/>
      <c r="CB41" s="515">
        <f>IFERROR(VLOOKUP(CA41,Feed!$B$4:$H$19,2,FALSE)*($BR$10/$BQ$10)+VLOOKUP(CA41,Feed!$B$4:$H$19,3,FALSE)*($BS$10/$BQ$10)+VLOOKUP(CA41,Feed!$B$4:$H$19,4,FALSE)*($BT$10/$BQ$10)+VLOOKUP(CA41,Feed!$B$4:$H$19,5,FALSE)*($BU$10/$BQ$10),0)</f>
        <v>0</v>
      </c>
      <c r="CC41" s="299" t="str">
        <f t="shared" si="40"/>
        <v>-</v>
      </c>
      <c r="CD41" s="299" t="str">
        <f t="shared" si="41"/>
        <v>-</v>
      </c>
      <c r="CE41" s="482"/>
      <c r="CF41" s="299" t="str">
        <f t="shared" si="44"/>
        <v>-</v>
      </c>
      <c r="CG41" s="300">
        <f t="shared" si="42"/>
        <v>0</v>
      </c>
      <c r="CH41" s="301" t="str">
        <f t="shared" si="43"/>
        <v>-</v>
      </c>
      <c r="CI41" s="9"/>
    </row>
    <row r="42" spans="39:87" ht="18.95" customHeight="1" x14ac:dyDescent="0.25">
      <c r="AM42" s="259">
        <v>37</v>
      </c>
      <c r="AN42" s="310" t="str">
        <f t="shared" si="29"/>
        <v>-</v>
      </c>
      <c r="AO42" s="9" t="str">
        <f t="shared" si="16"/>
        <v>-</v>
      </c>
      <c r="AP42" s="289" t="str">
        <f t="shared" si="17"/>
        <v>-</v>
      </c>
      <c r="AQ42" s="9" t="str">
        <f t="shared" si="18"/>
        <v>-</v>
      </c>
      <c r="AR42" s="453"/>
      <c r="AS42" s="453"/>
      <c r="AT42" s="229" t="str">
        <f t="shared" si="19"/>
        <v>-</v>
      </c>
      <c r="AU42" s="290" t="str">
        <f t="shared" si="20"/>
        <v>N/A</v>
      </c>
      <c r="AV42" s="453"/>
      <c r="AW42" s="290" t="str">
        <f t="shared" si="7"/>
        <v>N/A</v>
      </c>
      <c r="AX42" s="453"/>
      <c r="AY42" s="290" t="str">
        <f t="shared" si="21"/>
        <v>N/A</v>
      </c>
      <c r="AZ42" s="453"/>
      <c r="BA42" s="291" t="str">
        <f t="shared" si="22"/>
        <v>N/A</v>
      </c>
      <c r="BB42" s="292" t="str">
        <f t="shared" si="23"/>
        <v>-</v>
      </c>
      <c r="BC42" s="512" t="str">
        <f t="shared" si="24"/>
        <v>-</v>
      </c>
      <c r="BD42" s="293" t="str">
        <f t="shared" si="25"/>
        <v>-</v>
      </c>
      <c r="BE42" s="293" t="str">
        <f t="shared" si="26"/>
        <v>-</v>
      </c>
      <c r="BF42" s="294" t="str">
        <f t="shared" si="27"/>
        <v>-</v>
      </c>
      <c r="BG42" s="9"/>
      <c r="BH42" s="9"/>
      <c r="BI42" s="9"/>
      <c r="BJ42" s="9"/>
      <c r="BZ42" s="9"/>
      <c r="CA42" s="476"/>
      <c r="CB42" s="515">
        <f>IFERROR(VLOOKUP(CA42,Feed!$B$4:$H$19,2,FALSE)*($BR$10/$BQ$10)+VLOOKUP(CA42,Feed!$B$4:$H$19,3,FALSE)*($BS$10/$BQ$10)+VLOOKUP(CA42,Feed!$B$4:$H$19,4,FALSE)*($BT$10/$BQ$10)+VLOOKUP(CA42,Feed!$B$4:$H$19,5,FALSE)*($BU$10/$BQ$10),0)</f>
        <v>0</v>
      </c>
      <c r="CC42" s="299" t="str">
        <f t="shared" si="40"/>
        <v>-</v>
      </c>
      <c r="CD42" s="299" t="str">
        <f t="shared" si="41"/>
        <v>-</v>
      </c>
      <c r="CE42" s="482"/>
      <c r="CF42" s="299" t="str">
        <f t="shared" si="44"/>
        <v>-</v>
      </c>
      <c r="CG42" s="300">
        <f t="shared" si="42"/>
        <v>0</v>
      </c>
      <c r="CH42" s="301" t="str">
        <f t="shared" si="43"/>
        <v>-</v>
      </c>
      <c r="CI42" s="9"/>
    </row>
    <row r="43" spans="39:87" ht="18.95" customHeight="1" x14ac:dyDescent="0.25">
      <c r="AM43" s="259">
        <v>38</v>
      </c>
      <c r="AN43" s="310" t="str">
        <f t="shared" si="29"/>
        <v>-</v>
      </c>
      <c r="AO43" s="9" t="str">
        <f t="shared" si="16"/>
        <v>-</v>
      </c>
      <c r="AP43" s="289" t="str">
        <f t="shared" si="17"/>
        <v>-</v>
      </c>
      <c r="AQ43" s="9" t="str">
        <f t="shared" si="18"/>
        <v>-</v>
      </c>
      <c r="AR43" s="453"/>
      <c r="AS43" s="453"/>
      <c r="AT43" s="229" t="str">
        <f t="shared" si="19"/>
        <v>-</v>
      </c>
      <c r="AU43" s="290" t="str">
        <f t="shared" si="20"/>
        <v>N/A</v>
      </c>
      <c r="AV43" s="453"/>
      <c r="AW43" s="290" t="str">
        <f t="shared" si="7"/>
        <v>N/A</v>
      </c>
      <c r="AX43" s="453"/>
      <c r="AY43" s="290" t="str">
        <f t="shared" si="21"/>
        <v>N/A</v>
      </c>
      <c r="AZ43" s="453"/>
      <c r="BA43" s="291" t="str">
        <f t="shared" si="22"/>
        <v>N/A</v>
      </c>
      <c r="BB43" s="292" t="str">
        <f t="shared" si="23"/>
        <v>-</v>
      </c>
      <c r="BC43" s="512" t="str">
        <f t="shared" si="24"/>
        <v>-</v>
      </c>
      <c r="BD43" s="293" t="str">
        <f t="shared" si="25"/>
        <v>-</v>
      </c>
      <c r="BE43" s="293" t="str">
        <f t="shared" si="26"/>
        <v>-</v>
      </c>
      <c r="BF43" s="294" t="str">
        <f t="shared" si="27"/>
        <v>-</v>
      </c>
      <c r="BG43" s="9"/>
      <c r="BH43" s="9"/>
      <c r="BI43" s="9"/>
      <c r="BJ43" s="9"/>
      <c r="BZ43" s="9"/>
      <c r="CA43" s="476"/>
      <c r="CB43" s="515">
        <f>IFERROR(VLOOKUP(CA43,Feed!$B$4:$H$19,2,FALSE)*($BR$10/$BQ$10)+VLOOKUP(CA43,Feed!$B$4:$H$19,3,FALSE)*($BS$10/$BQ$10)+VLOOKUP(CA43,Feed!$B$4:$H$19,4,FALSE)*($BT$10/$BQ$10)+VLOOKUP(CA43,Feed!$B$4:$H$19,5,FALSE)*($BU$10/$BQ$10),0)</f>
        <v>0</v>
      </c>
      <c r="CC43" s="299" t="str">
        <f t="shared" si="40"/>
        <v>-</v>
      </c>
      <c r="CD43" s="299" t="str">
        <f t="shared" si="41"/>
        <v>-</v>
      </c>
      <c r="CE43" s="482"/>
      <c r="CF43" s="299" t="str">
        <f t="shared" si="44"/>
        <v>-</v>
      </c>
      <c r="CG43" s="300">
        <f t="shared" si="42"/>
        <v>0</v>
      </c>
      <c r="CH43" s="301" t="str">
        <f t="shared" si="43"/>
        <v>-</v>
      </c>
      <c r="CI43" s="9"/>
    </row>
    <row r="44" spans="39:87" ht="18.95" customHeight="1" x14ac:dyDescent="0.25">
      <c r="AM44" s="259">
        <v>39</v>
      </c>
      <c r="AN44" s="310" t="str">
        <f t="shared" si="29"/>
        <v>-</v>
      </c>
      <c r="AO44" s="9" t="str">
        <f t="shared" si="16"/>
        <v>-</v>
      </c>
      <c r="AP44" s="289" t="str">
        <f t="shared" si="17"/>
        <v>-</v>
      </c>
      <c r="AQ44" s="9" t="str">
        <f t="shared" si="18"/>
        <v>-</v>
      </c>
      <c r="AR44" s="453"/>
      <c r="AS44" s="453"/>
      <c r="AT44" s="229" t="str">
        <f t="shared" si="19"/>
        <v>-</v>
      </c>
      <c r="AU44" s="290" t="str">
        <f t="shared" si="20"/>
        <v>N/A</v>
      </c>
      <c r="AV44" s="453"/>
      <c r="AW44" s="290" t="str">
        <f t="shared" si="7"/>
        <v>N/A</v>
      </c>
      <c r="AX44" s="453"/>
      <c r="AY44" s="290" t="str">
        <f t="shared" si="21"/>
        <v>N/A</v>
      </c>
      <c r="AZ44" s="453"/>
      <c r="BA44" s="291" t="str">
        <f t="shared" si="22"/>
        <v>N/A</v>
      </c>
      <c r="BB44" s="292" t="str">
        <f t="shared" si="23"/>
        <v>-</v>
      </c>
      <c r="BC44" s="512" t="str">
        <f t="shared" si="24"/>
        <v>-</v>
      </c>
      <c r="BD44" s="293" t="str">
        <f t="shared" si="25"/>
        <v>-</v>
      </c>
      <c r="BE44" s="293" t="str">
        <f t="shared" si="26"/>
        <v>-</v>
      </c>
      <c r="BF44" s="294" t="str">
        <f t="shared" si="27"/>
        <v>-</v>
      </c>
      <c r="BG44" s="9"/>
      <c r="BH44" s="9"/>
      <c r="BI44" s="9"/>
      <c r="BJ44" s="9"/>
      <c r="BZ44" s="9"/>
      <c r="CA44" s="476"/>
      <c r="CB44" s="515">
        <f>IFERROR(VLOOKUP(CA44,Feed!$B$4:$H$19,2,FALSE)*($BR$10/$BQ$10)+VLOOKUP(CA44,Feed!$B$4:$H$19,3,FALSE)*($BS$10/$BQ$10)+VLOOKUP(CA44,Feed!$B$4:$H$19,4,FALSE)*($BT$10/$BQ$10)+VLOOKUP(CA44,Feed!$B$4:$H$19,5,FALSE)*($BU$10/$BQ$10),0)</f>
        <v>0</v>
      </c>
      <c r="CC44" s="299" t="str">
        <f t="shared" si="40"/>
        <v>-</v>
      </c>
      <c r="CD44" s="299" t="str">
        <f t="shared" si="41"/>
        <v>-</v>
      </c>
      <c r="CE44" s="482"/>
      <c r="CF44" s="299" t="str">
        <f t="shared" si="44"/>
        <v>-</v>
      </c>
      <c r="CG44" s="300">
        <f t="shared" si="42"/>
        <v>0</v>
      </c>
      <c r="CH44" s="301" t="str">
        <f t="shared" si="43"/>
        <v>-</v>
      </c>
      <c r="CI44" s="9"/>
    </row>
    <row r="45" spans="39:87" ht="18.95" customHeight="1" x14ac:dyDescent="0.25">
      <c r="AM45" s="259">
        <v>40</v>
      </c>
      <c r="AN45" s="310" t="str">
        <f t="shared" si="29"/>
        <v>-</v>
      </c>
      <c r="AO45" s="9" t="str">
        <f t="shared" si="16"/>
        <v>-</v>
      </c>
      <c r="AP45" s="289" t="str">
        <f t="shared" si="17"/>
        <v>-</v>
      </c>
      <c r="AQ45" s="9" t="str">
        <f t="shared" si="18"/>
        <v>-</v>
      </c>
      <c r="AR45" s="453"/>
      <c r="AS45" s="453"/>
      <c r="AT45" s="229" t="str">
        <f t="shared" si="19"/>
        <v>-</v>
      </c>
      <c r="AU45" s="290" t="str">
        <f t="shared" si="20"/>
        <v>N/A</v>
      </c>
      <c r="AV45" s="453"/>
      <c r="AW45" s="290" t="str">
        <f t="shared" si="7"/>
        <v>N/A</v>
      </c>
      <c r="AX45" s="453"/>
      <c r="AY45" s="290" t="str">
        <f t="shared" si="21"/>
        <v>N/A</v>
      </c>
      <c r="AZ45" s="453"/>
      <c r="BA45" s="291" t="str">
        <f t="shared" si="22"/>
        <v>N/A</v>
      </c>
      <c r="BB45" s="292" t="str">
        <f t="shared" si="23"/>
        <v>-</v>
      </c>
      <c r="BC45" s="512" t="str">
        <f t="shared" si="24"/>
        <v>-</v>
      </c>
      <c r="BD45" s="293" t="str">
        <f t="shared" si="25"/>
        <v>-</v>
      </c>
      <c r="BE45" s="293" t="str">
        <f t="shared" si="26"/>
        <v>-</v>
      </c>
      <c r="BF45" s="294" t="str">
        <f t="shared" si="27"/>
        <v>-</v>
      </c>
      <c r="BG45" s="9"/>
      <c r="BH45" s="9"/>
      <c r="BI45" s="9"/>
      <c r="BJ45" s="9"/>
      <c r="BZ45" s="9"/>
      <c r="CA45" s="338" t="s">
        <v>330</v>
      </c>
      <c r="CB45" s="516">
        <f>'AUM Evaluator'!$S$9*$CB$61</f>
        <v>78.359787947924048</v>
      </c>
      <c r="CC45" s="299">
        <v>1</v>
      </c>
      <c r="CD45" s="340">
        <v>0</v>
      </c>
      <c r="CE45" s="483"/>
      <c r="CF45" s="341" t="str">
        <f t="shared" si="44"/>
        <v>-</v>
      </c>
      <c r="CG45" s="342">
        <f t="shared" si="42"/>
        <v>0</v>
      </c>
      <c r="CH45" s="343">
        <f t="shared" si="43"/>
        <v>78.359787947924048</v>
      </c>
      <c r="CI45" s="9"/>
    </row>
    <row r="46" spans="39:87" ht="18.95" customHeight="1" x14ac:dyDescent="0.25">
      <c r="AM46" s="259">
        <v>41</v>
      </c>
      <c r="AN46" s="310" t="str">
        <f t="shared" si="29"/>
        <v>-</v>
      </c>
      <c r="AO46" s="9" t="str">
        <f t="shared" si="16"/>
        <v>-</v>
      </c>
      <c r="AP46" s="289" t="str">
        <f t="shared" si="17"/>
        <v>-</v>
      </c>
      <c r="AQ46" s="9" t="str">
        <f t="shared" si="18"/>
        <v>-</v>
      </c>
      <c r="AR46" s="453"/>
      <c r="AS46" s="453"/>
      <c r="AT46" s="229" t="str">
        <f t="shared" si="19"/>
        <v>-</v>
      </c>
      <c r="AU46" s="290" t="str">
        <f t="shared" si="20"/>
        <v>N/A</v>
      </c>
      <c r="AV46" s="453"/>
      <c r="AW46" s="290" t="str">
        <f t="shared" si="7"/>
        <v>N/A</v>
      </c>
      <c r="AX46" s="453"/>
      <c r="AY46" s="290" t="str">
        <f t="shared" si="21"/>
        <v>N/A</v>
      </c>
      <c r="AZ46" s="453"/>
      <c r="BA46" s="291" t="str">
        <f t="shared" si="22"/>
        <v>N/A</v>
      </c>
      <c r="BB46" s="292" t="str">
        <f t="shared" si="23"/>
        <v>-</v>
      </c>
      <c r="BC46" s="512" t="str">
        <f t="shared" si="24"/>
        <v>-</v>
      </c>
      <c r="BD46" s="293" t="str">
        <f t="shared" si="25"/>
        <v>-</v>
      </c>
      <c r="BE46" s="293" t="str">
        <f t="shared" si="26"/>
        <v>-</v>
      </c>
      <c r="BF46" s="294" t="str">
        <f t="shared" si="27"/>
        <v>-</v>
      </c>
      <c r="BG46" s="9"/>
      <c r="BH46" s="9"/>
      <c r="BI46" s="9"/>
      <c r="BJ46" s="9"/>
      <c r="BZ46" s="9"/>
      <c r="CA46" s="348"/>
      <c r="CB46" s="349"/>
      <c r="CC46" s="350" t="s">
        <v>58</v>
      </c>
      <c r="CD46" s="351"/>
      <c r="CE46" s="352">
        <f>SUM(CE39:CE45)</f>
        <v>0</v>
      </c>
      <c r="CF46" s="353">
        <f>SUM(CF39:CF45)</f>
        <v>0</v>
      </c>
      <c r="CG46" s="352">
        <f t="shared" si="42"/>
        <v>0</v>
      </c>
      <c r="CH46" s="354"/>
      <c r="CI46" s="9"/>
    </row>
    <row r="47" spans="39:87" ht="18.95" customHeight="1" thickBot="1" x14ac:dyDescent="0.3">
      <c r="AM47" s="259">
        <v>42</v>
      </c>
      <c r="AN47" s="310" t="str">
        <f t="shared" si="29"/>
        <v>-</v>
      </c>
      <c r="AO47" s="9" t="str">
        <f t="shared" si="16"/>
        <v>-</v>
      </c>
      <c r="AP47" s="289" t="str">
        <f t="shared" si="17"/>
        <v>-</v>
      </c>
      <c r="AQ47" s="9" t="str">
        <f t="shared" si="18"/>
        <v>-</v>
      </c>
      <c r="AR47" s="453"/>
      <c r="AS47" s="453"/>
      <c r="AT47" s="229" t="str">
        <f t="shared" si="19"/>
        <v>-</v>
      </c>
      <c r="AU47" s="290" t="str">
        <f t="shared" si="20"/>
        <v>N/A</v>
      </c>
      <c r="AV47" s="453"/>
      <c r="AW47" s="290" t="str">
        <f t="shared" si="7"/>
        <v>N/A</v>
      </c>
      <c r="AX47" s="453"/>
      <c r="AY47" s="290" t="str">
        <f t="shared" si="21"/>
        <v>N/A</v>
      </c>
      <c r="AZ47" s="453"/>
      <c r="BA47" s="291" t="str">
        <f t="shared" si="22"/>
        <v>N/A</v>
      </c>
      <c r="BB47" s="292" t="str">
        <f t="shared" si="23"/>
        <v>-</v>
      </c>
      <c r="BC47" s="512" t="str">
        <f t="shared" si="24"/>
        <v>-</v>
      </c>
      <c r="BD47" s="293" t="str">
        <f t="shared" si="25"/>
        <v>-</v>
      </c>
      <c r="BE47" s="293" t="str">
        <f t="shared" si="26"/>
        <v>-</v>
      </c>
      <c r="BF47" s="294" t="str">
        <f t="shared" si="27"/>
        <v>-</v>
      </c>
      <c r="BG47" s="9"/>
      <c r="BH47" s="9"/>
      <c r="BI47" s="9"/>
      <c r="BJ47" s="9"/>
      <c r="BZ47" s="9"/>
      <c r="CA47" s="363"/>
      <c r="CB47" s="364"/>
      <c r="CC47" s="365"/>
      <c r="CD47" s="366" t="s">
        <v>208</v>
      </c>
      <c r="CE47" s="366"/>
      <c r="CF47" s="367"/>
      <c r="CG47" s="367"/>
      <c r="CH47" s="368">
        <f>SUMPRODUCT(CF39:CF45,CH39:CH45,CC39:CC45)</f>
        <v>0</v>
      </c>
      <c r="CI47" s="9"/>
    </row>
    <row r="48" spans="39:87" ht="18.95" customHeight="1" thickBot="1" x14ac:dyDescent="0.3">
      <c r="AM48" s="259">
        <v>43</v>
      </c>
      <c r="AN48" s="310" t="str">
        <f t="shared" si="29"/>
        <v>-</v>
      </c>
      <c r="AO48" s="9" t="str">
        <f t="shared" si="16"/>
        <v>-</v>
      </c>
      <c r="AP48" s="289" t="str">
        <f t="shared" si="17"/>
        <v>-</v>
      </c>
      <c r="AQ48" s="9" t="str">
        <f t="shared" si="18"/>
        <v>-</v>
      </c>
      <c r="AR48" s="453"/>
      <c r="AS48" s="453"/>
      <c r="AT48" s="229" t="str">
        <f t="shared" si="19"/>
        <v>-</v>
      </c>
      <c r="AU48" s="290" t="str">
        <f t="shared" si="20"/>
        <v>N/A</v>
      </c>
      <c r="AV48" s="453"/>
      <c r="AW48" s="290" t="str">
        <f t="shared" si="7"/>
        <v>N/A</v>
      </c>
      <c r="AX48" s="453"/>
      <c r="AY48" s="290" t="str">
        <f t="shared" si="21"/>
        <v>N/A</v>
      </c>
      <c r="AZ48" s="453"/>
      <c r="BA48" s="291" t="str">
        <f t="shared" si="22"/>
        <v>N/A</v>
      </c>
      <c r="BB48" s="292" t="str">
        <f t="shared" si="23"/>
        <v>-</v>
      </c>
      <c r="BC48" s="512" t="str">
        <f t="shared" si="24"/>
        <v>-</v>
      </c>
      <c r="BD48" s="293" t="str">
        <f t="shared" si="25"/>
        <v>-</v>
      </c>
      <c r="BE48" s="293" t="str">
        <f t="shared" si="26"/>
        <v>-</v>
      </c>
      <c r="BF48" s="294" t="str">
        <f t="shared" si="27"/>
        <v>-</v>
      </c>
      <c r="BG48" s="9"/>
      <c r="BH48" s="9"/>
      <c r="BI48" s="9"/>
      <c r="BJ48" s="9"/>
      <c r="BZ48" s="9"/>
      <c r="CA48" s="9"/>
      <c r="CB48" s="9"/>
      <c r="CC48" s="9"/>
      <c r="CD48" s="9"/>
      <c r="CE48" s="9"/>
      <c r="CF48" s="9"/>
      <c r="CG48" s="9"/>
      <c r="CH48" s="9"/>
      <c r="CI48" s="9"/>
    </row>
    <row r="49" spans="39:87" ht="36" customHeight="1" x14ac:dyDescent="0.25">
      <c r="AM49" s="259">
        <v>44</v>
      </c>
      <c r="AN49" s="310" t="str">
        <f t="shared" si="29"/>
        <v>-</v>
      </c>
      <c r="AO49" s="9" t="str">
        <f t="shared" si="16"/>
        <v>-</v>
      </c>
      <c r="AP49" s="289" t="str">
        <f t="shared" si="17"/>
        <v>-</v>
      </c>
      <c r="AQ49" s="9" t="str">
        <f t="shared" si="18"/>
        <v>-</v>
      </c>
      <c r="AR49" s="453"/>
      <c r="AS49" s="453"/>
      <c r="AT49" s="229" t="str">
        <f t="shared" si="19"/>
        <v>-</v>
      </c>
      <c r="AU49" s="290" t="str">
        <f t="shared" si="20"/>
        <v>N/A</v>
      </c>
      <c r="AV49" s="453"/>
      <c r="AW49" s="290" t="str">
        <f t="shared" si="7"/>
        <v>N/A</v>
      </c>
      <c r="AX49" s="453"/>
      <c r="AY49" s="290" t="str">
        <f t="shared" si="21"/>
        <v>N/A</v>
      </c>
      <c r="AZ49" s="453"/>
      <c r="BA49" s="291" t="str">
        <f t="shared" si="22"/>
        <v>N/A</v>
      </c>
      <c r="BB49" s="292" t="str">
        <f t="shared" si="23"/>
        <v>-</v>
      </c>
      <c r="BC49" s="512" t="str">
        <f t="shared" si="24"/>
        <v>-</v>
      </c>
      <c r="BD49" s="293" t="str">
        <f t="shared" si="25"/>
        <v>-</v>
      </c>
      <c r="BE49" s="293" t="str">
        <f t="shared" si="26"/>
        <v>-</v>
      </c>
      <c r="BF49" s="294" t="str">
        <f t="shared" si="27"/>
        <v>-</v>
      </c>
      <c r="BG49" s="9"/>
      <c r="BH49" s="9"/>
      <c r="BI49" s="9"/>
      <c r="BJ49" s="9"/>
      <c r="BZ49" s="9"/>
      <c r="CA49" s="273" t="str">
        <f>IF(BN11=BN17,"-",BN11)</f>
        <v>-</v>
      </c>
      <c r="CB49" s="54" t="s">
        <v>328</v>
      </c>
      <c r="CC49" s="54" t="s">
        <v>205</v>
      </c>
      <c r="CD49" s="54" t="s">
        <v>95</v>
      </c>
      <c r="CE49" s="54" t="s">
        <v>326</v>
      </c>
      <c r="CF49" s="54" t="s">
        <v>206</v>
      </c>
      <c r="CG49" s="54" t="s">
        <v>234</v>
      </c>
      <c r="CH49" s="274" t="s">
        <v>209</v>
      </c>
      <c r="CI49" s="9"/>
    </row>
    <row r="50" spans="39:87" ht="18.95" customHeight="1" x14ac:dyDescent="0.25">
      <c r="AM50" s="259">
        <v>45</v>
      </c>
      <c r="AN50" s="310" t="str">
        <f t="shared" si="29"/>
        <v>-</v>
      </c>
      <c r="AO50" s="9" t="str">
        <f t="shared" si="16"/>
        <v>-</v>
      </c>
      <c r="AP50" s="289" t="str">
        <f t="shared" si="17"/>
        <v>-</v>
      </c>
      <c r="AQ50" s="9" t="str">
        <f t="shared" si="18"/>
        <v>-</v>
      </c>
      <c r="AR50" s="453"/>
      <c r="AS50" s="453"/>
      <c r="AT50" s="229" t="str">
        <f t="shared" si="19"/>
        <v>-</v>
      </c>
      <c r="AU50" s="290" t="str">
        <f t="shared" si="20"/>
        <v>N/A</v>
      </c>
      <c r="AV50" s="453"/>
      <c r="AW50" s="290" t="str">
        <f t="shared" si="7"/>
        <v>N/A</v>
      </c>
      <c r="AX50" s="453"/>
      <c r="AY50" s="290" t="str">
        <f t="shared" si="21"/>
        <v>N/A</v>
      </c>
      <c r="AZ50" s="453"/>
      <c r="BA50" s="291" t="str">
        <f t="shared" si="22"/>
        <v>N/A</v>
      </c>
      <c r="BB50" s="292" t="str">
        <f t="shared" si="23"/>
        <v>-</v>
      </c>
      <c r="BC50" s="512" t="str">
        <f t="shared" si="24"/>
        <v>-</v>
      </c>
      <c r="BD50" s="293" t="str">
        <f t="shared" si="25"/>
        <v>-</v>
      </c>
      <c r="BE50" s="293" t="str">
        <f t="shared" si="26"/>
        <v>-</v>
      </c>
      <c r="BF50" s="294" t="str">
        <f t="shared" si="27"/>
        <v>-</v>
      </c>
      <c r="BG50" s="9"/>
      <c r="BH50" s="9"/>
      <c r="BI50" s="9"/>
      <c r="BJ50" s="9"/>
      <c r="BZ50" s="9"/>
      <c r="CA50" s="476"/>
      <c r="CB50" s="515">
        <f>IFERROR(VLOOKUP(CA50,Feed!$B$4:$H$19,2,FALSE)*($BR$11/$BQ$11)+VLOOKUP(CA50,Feed!$B$4:$H$19,3,FALSE)*($BS$11/$BQ$11)+VLOOKUP(CA50,Feed!$B$4:$H$19,4,FALSE)*($BT$11/$BQ$11)+VLOOKUP(CA50,Feed!$B$4:$H$19,5,FALSE)*($BU$11/$BQ$11),0)</f>
        <v>0</v>
      </c>
      <c r="CC50" s="299" t="str">
        <f t="shared" ref="CC50:CC55" si="45">IFERROR(VLOOKUP($CA50,FeedIngLst,6,FALSE),"-")</f>
        <v>-</v>
      </c>
      <c r="CD50" s="299" t="str">
        <f t="shared" ref="CD50:CD55" si="46">IFERROR(VLOOKUP($CA50,FeedIngLst,7,FALSE),"-")</f>
        <v>-</v>
      </c>
      <c r="CE50" s="482"/>
      <c r="CF50" s="299" t="str">
        <f>IFERROR(CE50/$CE$57,"-")</f>
        <v>-</v>
      </c>
      <c r="CG50" s="300">
        <f t="shared" ref="CG50:CG57" si="47">CE50*$R$15*$BQ$11/2000</f>
        <v>0</v>
      </c>
      <c r="CH50" s="301" t="str">
        <f t="shared" ref="CH50:CH56" si="48">IFERROR($CB50/$CC50/(1-$CD50),"-")</f>
        <v>-</v>
      </c>
      <c r="CI50" s="9"/>
    </row>
    <row r="51" spans="39:87" ht="18.95" customHeight="1" x14ac:dyDescent="0.25">
      <c r="AM51" s="259">
        <v>46</v>
      </c>
      <c r="AN51" s="310" t="str">
        <f t="shared" si="29"/>
        <v>-</v>
      </c>
      <c r="AO51" s="9" t="str">
        <f t="shared" si="16"/>
        <v>-</v>
      </c>
      <c r="AP51" s="289" t="str">
        <f t="shared" si="17"/>
        <v>-</v>
      </c>
      <c r="AQ51" s="9" t="str">
        <f t="shared" si="18"/>
        <v>-</v>
      </c>
      <c r="AR51" s="453"/>
      <c r="AS51" s="453"/>
      <c r="AT51" s="229" t="str">
        <f t="shared" si="19"/>
        <v>-</v>
      </c>
      <c r="AU51" s="290" t="str">
        <f t="shared" si="20"/>
        <v>N/A</v>
      </c>
      <c r="AV51" s="453"/>
      <c r="AW51" s="290" t="str">
        <f t="shared" si="7"/>
        <v>N/A</v>
      </c>
      <c r="AX51" s="453"/>
      <c r="AY51" s="290" t="str">
        <f t="shared" si="21"/>
        <v>N/A</v>
      </c>
      <c r="AZ51" s="453"/>
      <c r="BA51" s="291" t="str">
        <f t="shared" si="22"/>
        <v>N/A</v>
      </c>
      <c r="BB51" s="292" t="str">
        <f t="shared" si="23"/>
        <v>-</v>
      </c>
      <c r="BC51" s="512" t="str">
        <f t="shared" si="24"/>
        <v>-</v>
      </c>
      <c r="BD51" s="293" t="str">
        <f t="shared" si="25"/>
        <v>-</v>
      </c>
      <c r="BE51" s="293" t="str">
        <f t="shared" si="26"/>
        <v>-</v>
      </c>
      <c r="BF51" s="294" t="str">
        <f t="shared" si="27"/>
        <v>-</v>
      </c>
      <c r="BG51" s="9"/>
      <c r="BH51" s="9"/>
      <c r="BI51" s="9"/>
      <c r="BJ51" s="9"/>
      <c r="BZ51" s="9"/>
      <c r="CA51" s="476"/>
      <c r="CB51" s="515">
        <f>IFERROR(VLOOKUP(CA51,Feed!$B$4:$H$19,2,FALSE)*($BR$11/$BQ$11)+VLOOKUP(CA51,Feed!$B$4:$H$19,3,FALSE)*($BS$11/$BQ$11)+VLOOKUP(CA51,Feed!$B$4:$H$19,4,FALSE)*($BT$11/$BQ$11)+VLOOKUP(CA51,Feed!$B$4:$H$19,5,FALSE)*($BU$11/$BQ$11),0)</f>
        <v>0</v>
      </c>
      <c r="CC51" s="299" t="str">
        <f t="shared" si="45"/>
        <v>-</v>
      </c>
      <c r="CD51" s="299" t="str">
        <f t="shared" si="46"/>
        <v>-</v>
      </c>
      <c r="CE51" s="482"/>
      <c r="CF51" s="299" t="str">
        <f t="shared" ref="CF51:CF56" si="49">IFERROR(CE51/$CE$57,"-")</f>
        <v>-</v>
      </c>
      <c r="CG51" s="300">
        <f t="shared" si="47"/>
        <v>0</v>
      </c>
      <c r="CH51" s="301" t="str">
        <f t="shared" si="48"/>
        <v>-</v>
      </c>
      <c r="CI51" s="9"/>
    </row>
    <row r="52" spans="39:87" ht="18.95" customHeight="1" x14ac:dyDescent="0.25">
      <c r="AM52" s="259">
        <v>47</v>
      </c>
      <c r="AN52" s="310" t="str">
        <f t="shared" si="29"/>
        <v>-</v>
      </c>
      <c r="AO52" s="9" t="str">
        <f t="shared" si="16"/>
        <v>-</v>
      </c>
      <c r="AP52" s="289" t="str">
        <f t="shared" si="17"/>
        <v>-</v>
      </c>
      <c r="AQ52" s="9" t="str">
        <f t="shared" si="18"/>
        <v>-</v>
      </c>
      <c r="AR52" s="453"/>
      <c r="AS52" s="453"/>
      <c r="AT52" s="229" t="str">
        <f t="shared" si="19"/>
        <v>-</v>
      </c>
      <c r="AU52" s="290" t="str">
        <f t="shared" si="20"/>
        <v>N/A</v>
      </c>
      <c r="AV52" s="453"/>
      <c r="AW52" s="290" t="str">
        <f t="shared" si="7"/>
        <v>N/A</v>
      </c>
      <c r="AX52" s="453"/>
      <c r="AY52" s="290" t="str">
        <f t="shared" si="21"/>
        <v>N/A</v>
      </c>
      <c r="AZ52" s="453"/>
      <c r="BA52" s="291" t="str">
        <f t="shared" si="22"/>
        <v>N/A</v>
      </c>
      <c r="BB52" s="292" t="str">
        <f t="shared" si="23"/>
        <v>-</v>
      </c>
      <c r="BC52" s="512" t="str">
        <f t="shared" si="24"/>
        <v>-</v>
      </c>
      <c r="BD52" s="293" t="str">
        <f t="shared" si="25"/>
        <v>-</v>
      </c>
      <c r="BE52" s="293" t="str">
        <f t="shared" si="26"/>
        <v>-</v>
      </c>
      <c r="BF52" s="294" t="str">
        <f t="shared" si="27"/>
        <v>-</v>
      </c>
      <c r="BG52" s="9"/>
      <c r="BH52" s="9"/>
      <c r="BI52" s="9"/>
      <c r="BJ52" s="9"/>
      <c r="BZ52" s="9"/>
      <c r="CA52" s="476"/>
      <c r="CB52" s="515">
        <f>IFERROR(VLOOKUP(CA52,Feed!$B$4:$H$19,2,FALSE)*($BR$11/$BQ$11)+VLOOKUP(CA52,Feed!$B$4:$H$19,3,FALSE)*($BS$11/$BQ$11)+VLOOKUP(CA52,Feed!$B$4:$H$19,4,FALSE)*($BT$11/$BQ$11)+VLOOKUP(CA52,Feed!$B$4:$H$19,5,FALSE)*($BU$11/$BQ$11),0)</f>
        <v>0</v>
      </c>
      <c r="CC52" s="299" t="str">
        <f t="shared" si="45"/>
        <v>-</v>
      </c>
      <c r="CD52" s="299" t="str">
        <f t="shared" si="46"/>
        <v>-</v>
      </c>
      <c r="CE52" s="482"/>
      <c r="CF52" s="299" t="str">
        <f t="shared" si="49"/>
        <v>-</v>
      </c>
      <c r="CG52" s="300">
        <f t="shared" si="47"/>
        <v>0</v>
      </c>
      <c r="CH52" s="301" t="str">
        <f t="shared" si="48"/>
        <v>-</v>
      </c>
      <c r="CI52" s="9"/>
    </row>
    <row r="53" spans="39:87" ht="18.95" customHeight="1" x14ac:dyDescent="0.25">
      <c r="AM53" s="259">
        <v>48</v>
      </c>
      <c r="AN53" s="310" t="str">
        <f t="shared" si="29"/>
        <v>-</v>
      </c>
      <c r="AO53" s="9" t="str">
        <f t="shared" si="16"/>
        <v>-</v>
      </c>
      <c r="AP53" s="289" t="str">
        <f t="shared" si="17"/>
        <v>-</v>
      </c>
      <c r="AQ53" s="9" t="str">
        <f t="shared" si="18"/>
        <v>-</v>
      </c>
      <c r="AR53" s="453"/>
      <c r="AS53" s="453"/>
      <c r="AT53" s="229" t="str">
        <f t="shared" si="19"/>
        <v>-</v>
      </c>
      <c r="AU53" s="290" t="str">
        <f t="shared" si="20"/>
        <v>N/A</v>
      </c>
      <c r="AV53" s="453"/>
      <c r="AW53" s="290" t="str">
        <f t="shared" si="7"/>
        <v>N/A</v>
      </c>
      <c r="AX53" s="453"/>
      <c r="AY53" s="290" t="str">
        <f t="shared" si="21"/>
        <v>N/A</v>
      </c>
      <c r="AZ53" s="453"/>
      <c r="BA53" s="291" t="str">
        <f t="shared" si="22"/>
        <v>N/A</v>
      </c>
      <c r="BB53" s="292" t="str">
        <f t="shared" si="23"/>
        <v>-</v>
      </c>
      <c r="BC53" s="512" t="str">
        <f t="shared" si="24"/>
        <v>-</v>
      </c>
      <c r="BD53" s="293" t="str">
        <f t="shared" si="25"/>
        <v>-</v>
      </c>
      <c r="BE53" s="293" t="str">
        <f t="shared" si="26"/>
        <v>-</v>
      </c>
      <c r="BF53" s="294" t="str">
        <f t="shared" si="27"/>
        <v>-</v>
      </c>
      <c r="BG53" s="9"/>
      <c r="BH53" s="9"/>
      <c r="BI53" s="9"/>
      <c r="BJ53" s="9"/>
      <c r="BZ53" s="9"/>
      <c r="CA53" s="476"/>
      <c r="CB53" s="515">
        <f>IFERROR(VLOOKUP(CA53,Feed!$B$4:$H$19,2,FALSE)*($BR$11/$BQ$11)+VLOOKUP(CA53,Feed!$B$4:$H$19,3,FALSE)*($BS$11/$BQ$11)+VLOOKUP(CA53,Feed!$B$4:$H$19,4,FALSE)*($BT$11/$BQ$11)+VLOOKUP(CA53,Feed!$B$4:$H$19,5,FALSE)*($BU$11/$BQ$11),0)</f>
        <v>0</v>
      </c>
      <c r="CC53" s="299" t="str">
        <f t="shared" si="45"/>
        <v>-</v>
      </c>
      <c r="CD53" s="299" t="str">
        <f t="shared" si="46"/>
        <v>-</v>
      </c>
      <c r="CE53" s="482"/>
      <c r="CF53" s="299" t="str">
        <f t="shared" si="49"/>
        <v>-</v>
      </c>
      <c r="CG53" s="300">
        <f t="shared" si="47"/>
        <v>0</v>
      </c>
      <c r="CH53" s="301" t="str">
        <f t="shared" si="48"/>
        <v>-</v>
      </c>
      <c r="CI53" s="9"/>
    </row>
    <row r="54" spans="39:87" ht="18.95" customHeight="1" x14ac:dyDescent="0.25">
      <c r="AM54" s="259">
        <v>49</v>
      </c>
      <c r="AN54" s="310" t="str">
        <f t="shared" si="29"/>
        <v>-</v>
      </c>
      <c r="AO54" s="9" t="str">
        <f t="shared" si="16"/>
        <v>-</v>
      </c>
      <c r="AP54" s="289" t="str">
        <f t="shared" si="17"/>
        <v>-</v>
      </c>
      <c r="AQ54" s="9" t="str">
        <f t="shared" si="18"/>
        <v>-</v>
      </c>
      <c r="AR54" s="453"/>
      <c r="AS54" s="453"/>
      <c r="AT54" s="229" t="str">
        <f t="shared" si="19"/>
        <v>-</v>
      </c>
      <c r="AU54" s="290" t="str">
        <f t="shared" si="20"/>
        <v>N/A</v>
      </c>
      <c r="AV54" s="453"/>
      <c r="AW54" s="290" t="str">
        <f t="shared" si="7"/>
        <v>N/A</v>
      </c>
      <c r="AX54" s="453"/>
      <c r="AY54" s="290" t="str">
        <f t="shared" si="21"/>
        <v>N/A</v>
      </c>
      <c r="AZ54" s="453"/>
      <c r="BA54" s="291" t="str">
        <f t="shared" si="22"/>
        <v>N/A</v>
      </c>
      <c r="BB54" s="292" t="str">
        <f t="shared" si="23"/>
        <v>-</v>
      </c>
      <c r="BC54" s="512" t="str">
        <f t="shared" si="24"/>
        <v>-</v>
      </c>
      <c r="BD54" s="293" t="str">
        <f t="shared" si="25"/>
        <v>-</v>
      </c>
      <c r="BE54" s="293" t="str">
        <f t="shared" si="26"/>
        <v>-</v>
      </c>
      <c r="BF54" s="294" t="str">
        <f t="shared" si="27"/>
        <v>-</v>
      </c>
      <c r="BG54" s="9"/>
      <c r="BH54" s="9"/>
      <c r="BI54" s="9"/>
      <c r="BJ54" s="9"/>
      <c r="BZ54" s="9"/>
      <c r="CA54" s="476"/>
      <c r="CB54" s="515">
        <f>IFERROR(VLOOKUP(CA54,Feed!$B$4:$H$19,2,FALSE)*($BR$11/$BQ$11)+VLOOKUP(CA54,Feed!$B$4:$H$19,3,FALSE)*($BS$11/$BQ$11)+VLOOKUP(CA54,Feed!$B$4:$H$19,4,FALSE)*($BT$11/$BQ$11)+VLOOKUP(CA54,Feed!$B$4:$H$19,5,FALSE)*($BU$11/$BQ$11),0)</f>
        <v>0</v>
      </c>
      <c r="CC54" s="299" t="str">
        <f t="shared" si="45"/>
        <v>-</v>
      </c>
      <c r="CD54" s="299" t="str">
        <f t="shared" si="46"/>
        <v>-</v>
      </c>
      <c r="CE54" s="482"/>
      <c r="CF54" s="299" t="str">
        <f t="shared" si="49"/>
        <v>-</v>
      </c>
      <c r="CG54" s="300">
        <f t="shared" si="47"/>
        <v>0</v>
      </c>
      <c r="CH54" s="301" t="str">
        <f t="shared" si="48"/>
        <v>-</v>
      </c>
      <c r="CI54" s="9"/>
    </row>
    <row r="55" spans="39:87" ht="18.95" customHeight="1" thickBot="1" x14ac:dyDescent="0.3">
      <c r="AM55" s="259">
        <v>50</v>
      </c>
      <c r="AN55" s="384" t="str">
        <f t="shared" si="29"/>
        <v>-</v>
      </c>
      <c r="AO55" s="385" t="str">
        <f t="shared" si="16"/>
        <v>-</v>
      </c>
      <c r="AP55" s="401" t="str">
        <f t="shared" si="17"/>
        <v>-</v>
      </c>
      <c r="AQ55" s="385" t="str">
        <f t="shared" si="18"/>
        <v>-</v>
      </c>
      <c r="AR55" s="454"/>
      <c r="AS55" s="455"/>
      <c r="AT55" s="402" t="str">
        <f t="shared" si="19"/>
        <v>-</v>
      </c>
      <c r="AU55" s="403" t="str">
        <f t="shared" si="20"/>
        <v>N/A</v>
      </c>
      <c r="AV55" s="455"/>
      <c r="AW55" s="403" t="str">
        <f t="shared" si="7"/>
        <v>N/A</v>
      </c>
      <c r="AX55" s="455"/>
      <c r="AY55" s="403" t="str">
        <f t="shared" si="21"/>
        <v>N/A</v>
      </c>
      <c r="AZ55" s="455"/>
      <c r="BA55" s="404" t="str">
        <f t="shared" si="22"/>
        <v>N/A</v>
      </c>
      <c r="BB55" s="405" t="str">
        <f t="shared" si="23"/>
        <v>-</v>
      </c>
      <c r="BC55" s="513" t="str">
        <f t="shared" si="24"/>
        <v>-</v>
      </c>
      <c r="BD55" s="406" t="str">
        <f t="shared" si="25"/>
        <v>-</v>
      </c>
      <c r="BE55" s="406" t="str">
        <f t="shared" si="26"/>
        <v>-</v>
      </c>
      <c r="BF55" s="407" t="str">
        <f t="shared" si="27"/>
        <v>-</v>
      </c>
      <c r="BG55" s="9"/>
      <c r="BH55" s="9"/>
      <c r="BI55" s="9"/>
      <c r="BJ55" s="9"/>
      <c r="BZ55" s="9"/>
      <c r="CA55" s="476"/>
      <c r="CB55" s="515">
        <f>IFERROR(VLOOKUP(CA55,Feed!$B$4:$H$19,2,FALSE)*($BR$11/$BQ$11)+VLOOKUP(CA55,Feed!$B$4:$H$19,3,FALSE)*($BS$11/$BQ$11)+VLOOKUP(CA55,Feed!$B$4:$H$19,4,FALSE)*($BT$11/$BQ$11)+VLOOKUP(CA55,Feed!$B$4:$H$19,5,FALSE)*($BU$11/$BQ$11),0)</f>
        <v>0</v>
      </c>
      <c r="CC55" s="299" t="str">
        <f t="shared" si="45"/>
        <v>-</v>
      </c>
      <c r="CD55" s="299" t="str">
        <f t="shared" si="46"/>
        <v>-</v>
      </c>
      <c r="CE55" s="482"/>
      <c r="CF55" s="299" t="str">
        <f t="shared" si="49"/>
        <v>-</v>
      </c>
      <c r="CG55" s="300">
        <f t="shared" si="47"/>
        <v>0</v>
      </c>
      <c r="CH55" s="301" t="str">
        <f t="shared" si="48"/>
        <v>-</v>
      </c>
      <c r="CI55" s="9"/>
    </row>
    <row r="56" spans="39:87" ht="18.95" customHeight="1" thickBot="1" x14ac:dyDescent="0.3">
      <c r="AM56" s="9"/>
      <c r="AN56" s="628" t="s">
        <v>138</v>
      </c>
      <c r="AO56" s="629"/>
      <c r="AP56" s="629"/>
      <c r="AQ56" s="629"/>
      <c r="AR56" s="408">
        <f>IFERROR(AVERAGE(AR6:AR55),)</f>
        <v>0</v>
      </c>
      <c r="AS56" s="408">
        <f>IFERROR(AVERAGE(AS6:AS55),)</f>
        <v>0</v>
      </c>
      <c r="AT56" s="408"/>
      <c r="AU56" s="408" t="str">
        <f>IFERROR(AVERAGE(AU6:AU55),"No weights entered")</f>
        <v>No weights entered</v>
      </c>
      <c r="AV56" s="408">
        <f>IFERROR(AVERAGE(AV6:AV55),)</f>
        <v>0</v>
      </c>
      <c r="AW56" s="408" t="str">
        <f>IFERROR(AVERAGE(AW6:AW55),"No weights entered")</f>
        <v>No weights entered</v>
      </c>
      <c r="AX56" s="408">
        <f>IFERROR(AVERAGE(AX6:AX55),)</f>
        <v>0</v>
      </c>
      <c r="AY56" s="408" t="str">
        <f>IFERROR(AVERAGE(AY6:AY55),"No weights entered")</f>
        <v>No weights entered</v>
      </c>
      <c r="AZ56" s="408">
        <f>IFERROR(AVERAGE(AZ6:AZ55),)</f>
        <v>0</v>
      </c>
      <c r="BA56" s="408" t="str">
        <f>IFERROR(AVERAGE(BA6:BA55),"No weights entered")</f>
        <v>No weights entered</v>
      </c>
      <c r="BB56" s="409" t="str">
        <f>IFERROR(AVERAGE(BB6:BB55),"-")</f>
        <v>-</v>
      </c>
      <c r="BC56" s="408"/>
      <c r="BD56" s="408" t="str">
        <f>IFERROR(AVERAGE(BD6:BD55),"-")</f>
        <v>-</v>
      </c>
      <c r="BE56" s="408" t="str">
        <f>IFERROR(AVERAGE(BE6:BE55),"-")</f>
        <v>-</v>
      </c>
      <c r="BF56" s="410" t="str">
        <f>IFERROR(AVERAGE(BF6:BF55),"-")</f>
        <v>-</v>
      </c>
      <c r="BG56" s="9"/>
      <c r="BH56" s="9"/>
      <c r="BI56" s="9"/>
      <c r="BJ56" s="9"/>
      <c r="BZ56" s="9"/>
      <c r="CA56" s="338" t="s">
        <v>330</v>
      </c>
      <c r="CB56" s="516">
        <f>'AUM Evaluator'!$S$9*$CB$61</f>
        <v>78.359787947924048</v>
      </c>
      <c r="CC56" s="299">
        <v>1</v>
      </c>
      <c r="CD56" s="340">
        <v>0</v>
      </c>
      <c r="CE56" s="483"/>
      <c r="CF56" s="341" t="str">
        <f t="shared" si="49"/>
        <v>-</v>
      </c>
      <c r="CG56" s="342">
        <f t="shared" si="47"/>
        <v>0</v>
      </c>
      <c r="CH56" s="343">
        <f t="shared" si="48"/>
        <v>78.359787947924048</v>
      </c>
      <c r="CI56" s="9"/>
    </row>
    <row r="57" spans="39:87" ht="18.95" customHeight="1" x14ac:dyDescent="0.25">
      <c r="AM57" s="9"/>
      <c r="AN57" s="9"/>
      <c r="AO57" s="9"/>
      <c r="AP57" s="9"/>
      <c r="AQ57" s="9"/>
      <c r="AR57" s="259" t="s">
        <v>244</v>
      </c>
      <c r="AS57" s="259">
        <f>COUNTIF(AS6:AS55,$BH$13)</f>
        <v>0</v>
      </c>
      <c r="AT57" s="259"/>
      <c r="AU57" s="259"/>
      <c r="AV57" s="259">
        <f>COUNTIF(AV6:AV55,$BH$13)</f>
        <v>0</v>
      </c>
      <c r="AW57" s="259"/>
      <c r="AX57" s="259">
        <f>COUNTIF(AX6:AX55,$BH$13)</f>
        <v>0</v>
      </c>
      <c r="AY57" s="259"/>
      <c r="AZ57" s="259">
        <f>COUNTIF(AZ6:AZ55,$BH$13)</f>
        <v>0</v>
      </c>
      <c r="BA57" s="521"/>
      <c r="BB57" s="9"/>
      <c r="BC57" s="514"/>
      <c r="BD57" s="9"/>
      <c r="BE57" s="9"/>
      <c r="BF57" s="9"/>
      <c r="BG57" s="9"/>
      <c r="BH57" s="9"/>
      <c r="BI57" s="9"/>
      <c r="BJ57" s="9"/>
      <c r="BZ57" s="9"/>
      <c r="CA57" s="348"/>
      <c r="CB57" s="349"/>
      <c r="CC57" s="350" t="s">
        <v>58</v>
      </c>
      <c r="CD57" s="351"/>
      <c r="CE57" s="352">
        <f>SUM(CE50:CE56)</f>
        <v>0</v>
      </c>
      <c r="CF57" s="353">
        <f>SUM(CF50:CF56)</f>
        <v>0</v>
      </c>
      <c r="CG57" s="352">
        <f t="shared" si="47"/>
        <v>0</v>
      </c>
      <c r="CH57" s="354"/>
      <c r="CI57" s="9"/>
    </row>
    <row r="58" spans="39:87" ht="18.95" customHeight="1" thickBot="1" x14ac:dyDescent="0.3">
      <c r="AM58" s="9"/>
      <c r="AN58" s="9"/>
      <c r="AO58" s="9"/>
      <c r="AP58" s="9"/>
      <c r="AQ58" s="9"/>
      <c r="AR58" s="259" t="s">
        <v>303</v>
      </c>
      <c r="AS58" s="259">
        <f>COUNTIF(AS6:AS55,$BH$14)</f>
        <v>0</v>
      </c>
      <c r="AT58" s="259"/>
      <c r="AU58" s="259"/>
      <c r="AV58" s="259">
        <f>COUNTIF(AV6:AV55,$BH$14)</f>
        <v>0</v>
      </c>
      <c r="AW58" s="259"/>
      <c r="AX58" s="259">
        <f>COUNTIF(AX6:AX55,$BH$14)</f>
        <v>0</v>
      </c>
      <c r="AY58" s="259"/>
      <c r="AZ58" s="259">
        <f>COUNTIF(AZ6:AZ55,$BH$14)</f>
        <v>0</v>
      </c>
      <c r="BA58" s="521"/>
      <c r="BB58" s="9"/>
      <c r="BC58" s="514"/>
      <c r="BD58" s="9"/>
      <c r="BE58" s="9"/>
      <c r="BF58" s="9"/>
      <c r="BG58" s="9"/>
      <c r="BH58" s="9"/>
      <c r="BI58" s="9"/>
      <c r="BJ58" s="9"/>
      <c r="BZ58" s="9"/>
      <c r="CA58" s="363"/>
      <c r="CB58" s="364"/>
      <c r="CC58" s="365"/>
      <c r="CD58" s="366" t="s">
        <v>208</v>
      </c>
      <c r="CE58" s="366"/>
      <c r="CF58" s="367">
        <f>SUM(CF51:CF57)</f>
        <v>0</v>
      </c>
      <c r="CG58" s="367"/>
      <c r="CH58" s="368">
        <f>SUMPRODUCT(CF50:CF56,CH50:CH56,CC50:CC56)</f>
        <v>0</v>
      </c>
      <c r="CI58" s="9"/>
    </row>
    <row r="59" spans="39:87" ht="18.95" customHeight="1" x14ac:dyDescent="0.25">
      <c r="AM59" s="9"/>
      <c r="AN59" s="9"/>
      <c r="AO59" s="9"/>
      <c r="AP59" s="9"/>
      <c r="AQ59" s="9"/>
      <c r="AR59" s="9"/>
      <c r="AS59" s="521"/>
      <c r="AT59" s="521"/>
      <c r="AU59" s="521"/>
      <c r="AV59" s="521"/>
      <c r="AW59" s="521"/>
      <c r="AX59" s="521"/>
      <c r="AY59" s="521"/>
      <c r="AZ59" s="521"/>
      <c r="BA59" s="521"/>
      <c r="BB59" s="9"/>
      <c r="BC59" s="514"/>
      <c r="BD59" s="9"/>
      <c r="BE59" s="9"/>
      <c r="BF59" s="9"/>
      <c r="BG59" s="9"/>
      <c r="BH59" s="9"/>
      <c r="BI59" s="9"/>
      <c r="BJ59" s="9"/>
      <c r="BZ59" s="9"/>
      <c r="CA59" s="9"/>
      <c r="CB59" s="9"/>
      <c r="CC59" s="9"/>
      <c r="CD59" s="9"/>
      <c r="CE59" s="9"/>
      <c r="CF59" s="9"/>
      <c r="CG59" s="9"/>
      <c r="CH59" s="9"/>
      <c r="CI59" s="9"/>
    </row>
    <row r="60" spans="39:87" ht="18.95" customHeight="1" x14ac:dyDescent="0.25">
      <c r="AP60" s="216" t="s">
        <v>251</v>
      </c>
      <c r="AS60" s="411">
        <f>(AZ56+AR56)/2</f>
        <v>0</v>
      </c>
      <c r="AT60" s="411"/>
      <c r="BZ60" s="9"/>
      <c r="CA60" s="259" t="s">
        <v>210</v>
      </c>
      <c r="CB60" s="259">
        <v>780</v>
      </c>
      <c r="CC60" s="259" t="s">
        <v>171</v>
      </c>
      <c r="CD60" s="9"/>
      <c r="CE60" s="9"/>
      <c r="CF60" s="9"/>
      <c r="CG60" s="9"/>
      <c r="CH60" s="9"/>
      <c r="CI60" s="9"/>
    </row>
    <row r="61" spans="39:87" ht="18.95" customHeight="1" x14ac:dyDescent="0.25">
      <c r="BZ61" s="9"/>
      <c r="CA61" s="259" t="s">
        <v>211</v>
      </c>
      <c r="CB61" s="412">
        <f>2000/CB60</f>
        <v>2.5641025641025643</v>
      </c>
      <c r="CC61" s="259"/>
      <c r="CD61" s="9"/>
      <c r="CE61" s="9"/>
      <c r="CF61" s="9"/>
      <c r="CG61" s="9"/>
      <c r="CH61" s="9"/>
      <c r="CI61" s="9"/>
    </row>
    <row r="98" spans="40:43" ht="18.95" customHeight="1" x14ac:dyDescent="0.25">
      <c r="AN98" s="630" t="s">
        <v>190</v>
      </c>
      <c r="AO98" s="631"/>
      <c r="AP98" s="631"/>
      <c r="AQ98" s="632"/>
    </row>
    <row r="99" spans="40:43" ht="18.95" customHeight="1" x14ac:dyDescent="0.25">
      <c r="AN99" s="413"/>
      <c r="AO99" s="633" t="s">
        <v>110</v>
      </c>
      <c r="AP99" s="633"/>
      <c r="AQ99" s="414" t="s">
        <v>111</v>
      </c>
    </row>
    <row r="100" spans="40:43" ht="18.95" customHeight="1" x14ac:dyDescent="0.25">
      <c r="AN100" s="415" t="s">
        <v>191</v>
      </c>
      <c r="AO100" s="416"/>
      <c r="AP100" s="416"/>
      <c r="AQ100" s="417"/>
    </row>
    <row r="101" spans="40:43" ht="18.95" customHeight="1" x14ac:dyDescent="0.25">
      <c r="AN101" s="415"/>
      <c r="AO101" s="416" t="s">
        <v>112</v>
      </c>
      <c r="AP101" s="416"/>
      <c r="AQ101" s="418">
        <v>1.32</v>
      </c>
    </row>
    <row r="102" spans="40:43" ht="18.95" customHeight="1" x14ac:dyDescent="0.25">
      <c r="AN102" s="415"/>
      <c r="AO102" s="416" t="s">
        <v>113</v>
      </c>
      <c r="AP102" s="416"/>
      <c r="AQ102" s="418">
        <v>0</v>
      </c>
    </row>
    <row r="103" spans="40:43" ht="18.95" customHeight="1" x14ac:dyDescent="0.25">
      <c r="AN103" s="415"/>
      <c r="AO103" s="419" t="s">
        <v>114</v>
      </c>
      <c r="AP103" s="419"/>
      <c r="AQ103" s="418">
        <v>1.71</v>
      </c>
    </row>
    <row r="104" spans="40:43" ht="18.95" customHeight="1" x14ac:dyDescent="0.25">
      <c r="AN104" s="415"/>
      <c r="AO104" s="420" t="s">
        <v>115</v>
      </c>
      <c r="AP104" s="421"/>
      <c r="AQ104" s="418">
        <v>1.33</v>
      </c>
    </row>
    <row r="105" spans="40:43" ht="18.95" customHeight="1" x14ac:dyDescent="0.25">
      <c r="AN105" s="415"/>
      <c r="AO105" s="416" t="s">
        <v>116</v>
      </c>
      <c r="AP105" s="416"/>
      <c r="AQ105" s="418">
        <v>1.1499999999999999</v>
      </c>
    </row>
    <row r="106" spans="40:43" ht="18.95" customHeight="1" x14ac:dyDescent="0.25">
      <c r="AN106" s="415"/>
      <c r="AO106" s="416" t="s">
        <v>117</v>
      </c>
      <c r="AP106" s="416"/>
      <c r="AQ106" s="422">
        <v>3.29</v>
      </c>
    </row>
    <row r="107" spans="40:43" ht="18.95" customHeight="1" x14ac:dyDescent="0.25">
      <c r="AN107" s="415"/>
      <c r="AO107" s="416" t="s">
        <v>118</v>
      </c>
      <c r="AP107" s="416"/>
      <c r="AQ107" s="423">
        <v>3.94</v>
      </c>
    </row>
    <row r="108" spans="40:43" ht="18.95" customHeight="1" x14ac:dyDescent="0.25">
      <c r="AN108" s="415"/>
      <c r="AO108" s="416" t="s">
        <v>119</v>
      </c>
      <c r="AP108" s="416"/>
      <c r="AQ108" s="423">
        <v>2.2799999999999998</v>
      </c>
    </row>
    <row r="109" spans="40:43" ht="18.95" customHeight="1" x14ac:dyDescent="0.25">
      <c r="AN109" s="415"/>
      <c r="AO109" s="416"/>
      <c r="AP109" s="416"/>
      <c r="AQ109" s="418">
        <f>+SUM(AQ101:AQ108)*AO94</f>
        <v>0</v>
      </c>
    </row>
    <row r="110" spans="40:43" ht="18.95" customHeight="1" x14ac:dyDescent="0.25">
      <c r="AN110" s="415" t="s">
        <v>120</v>
      </c>
      <c r="AO110" s="416"/>
      <c r="AP110" s="416"/>
      <c r="AQ110" s="417"/>
    </row>
    <row r="111" spans="40:43" ht="18.95" customHeight="1" x14ac:dyDescent="0.25">
      <c r="AN111" s="415"/>
      <c r="AO111" s="416" t="s">
        <v>121</v>
      </c>
      <c r="AP111" s="416"/>
      <c r="AQ111" s="418">
        <v>696</v>
      </c>
    </row>
    <row r="112" spans="40:43" ht="18.95" customHeight="1" x14ac:dyDescent="0.25">
      <c r="AN112" s="415"/>
      <c r="AO112" s="416"/>
      <c r="AP112" s="416"/>
      <c r="AQ112" s="417"/>
    </row>
    <row r="113" spans="40:43" ht="18.95" customHeight="1" x14ac:dyDescent="0.25">
      <c r="AN113" s="415" t="s">
        <v>122</v>
      </c>
      <c r="AO113" s="416"/>
      <c r="AP113" s="424" t="s">
        <v>123</v>
      </c>
      <c r="AQ113" s="425">
        <f>+AZ213</f>
        <v>0</v>
      </c>
    </row>
    <row r="114" spans="40:43" ht="18.95" customHeight="1" x14ac:dyDescent="0.25">
      <c r="AN114" s="415"/>
      <c r="AO114" s="623"/>
      <c r="AP114" s="623"/>
      <c r="AQ114" s="418">
        <v>0</v>
      </c>
    </row>
    <row r="115" spans="40:43" ht="18.95" customHeight="1" x14ac:dyDescent="0.25">
      <c r="AQ115" s="426"/>
    </row>
    <row r="116" spans="40:43" ht="18.95" customHeight="1" x14ac:dyDescent="0.25">
      <c r="AN116" s="415" t="s">
        <v>124</v>
      </c>
      <c r="AO116" s="416"/>
      <c r="AP116" s="416"/>
      <c r="AQ116" s="418" t="e">
        <f>+((SUM(AQ113,AQ109,AQ118,#REF!)*8.5%)/365)*80</f>
        <v>#REF!</v>
      </c>
    </row>
    <row r="117" spans="40:43" ht="18.95" customHeight="1" x14ac:dyDescent="0.25">
      <c r="AN117" s="415"/>
      <c r="AO117" s="416"/>
      <c r="AP117" s="416"/>
      <c r="AQ117" s="418" t="s">
        <v>125</v>
      </c>
    </row>
    <row r="118" spans="40:43" ht="18.95" customHeight="1" x14ac:dyDescent="0.25">
      <c r="AN118" s="427" t="s">
        <v>19</v>
      </c>
      <c r="AO118" s="428"/>
      <c r="AQ118" s="429">
        <v>300</v>
      </c>
    </row>
    <row r="119" spans="40:43" ht="18.95" customHeight="1" x14ac:dyDescent="0.25">
      <c r="AQ119" s="426"/>
    </row>
    <row r="120" spans="40:43" ht="18.95" customHeight="1" x14ac:dyDescent="0.25">
      <c r="AN120" s="415" t="s">
        <v>126</v>
      </c>
      <c r="AP120" s="416" t="s">
        <v>127</v>
      </c>
      <c r="AQ120" s="430">
        <f>30*AO96</f>
        <v>0</v>
      </c>
    </row>
    <row r="121" spans="40:43" ht="18.95" customHeight="1" x14ac:dyDescent="0.25">
      <c r="AN121" s="431"/>
      <c r="AO121" s="624" t="s">
        <v>128</v>
      </c>
      <c r="AP121" s="624"/>
      <c r="AQ121" s="432" t="e">
        <f>+SUM(AQ109,AQ118,AQ111,AQ113,AQ114,AQ116,AQ120)</f>
        <v>#REF!</v>
      </c>
    </row>
  </sheetData>
  <sheetProtection sheet="1" objects="1" scenarios="1"/>
  <protectedRanges>
    <protectedRange sqref="CW5:DA18 DJ5:DK29 DM5:DN29 DP3:DP29" name="Animal Health"/>
    <protectedRange sqref="BN7:BP11 CA6:CA11 CA17:CA22 CA28:CA33 CA39:CA44 CA50:CA55 CE50:CE56 CE39:CE45 CE28:CE34 CE17:CE23 CE6:CE12" name="Feed Rations"/>
    <protectedRange sqref="AR2:BA2 AR6:AS55 AV6:AV55 AX6:AX55 AZ6:AZ55" name="Animal Information"/>
    <protectedRange sqref="Q5:Q14 S5:W14 AA5:AC14" name="Lot Summary"/>
    <protectedRange sqref="J5:J13" name="Input"/>
  </protectedRanges>
  <mergeCells count="46">
    <mergeCell ref="CI1:CI2"/>
    <mergeCell ref="CM1:CO1"/>
    <mergeCell ref="CP1:CS2"/>
    <mergeCell ref="CW1:DB1"/>
    <mergeCell ref="A1:F1"/>
    <mergeCell ref="I1:K1"/>
    <mergeCell ref="L1:L2"/>
    <mergeCell ref="P1:AE1"/>
    <mergeCell ref="AG1:AJ2"/>
    <mergeCell ref="AN1:BF1"/>
    <mergeCell ref="EM1:EP2"/>
    <mergeCell ref="A2:F2"/>
    <mergeCell ref="AN2:AQ2"/>
    <mergeCell ref="AS2:AU2"/>
    <mergeCell ref="AV2:AW2"/>
    <mergeCell ref="AX2:AY2"/>
    <mergeCell ref="AZ2:BA2"/>
    <mergeCell ref="BB2:BF2"/>
    <mergeCell ref="DC1:DF2"/>
    <mergeCell ref="DJ1:DQ1"/>
    <mergeCell ref="DR1:DU2"/>
    <mergeCell ref="DY1:EB1"/>
    <mergeCell ref="EC1:EF2"/>
    <mergeCell ref="EK1:EL1"/>
    <mergeCell ref="BG1:BJ2"/>
    <mergeCell ref="BN1:CH1"/>
    <mergeCell ref="A12:F12"/>
    <mergeCell ref="A3:F3"/>
    <mergeCell ref="A5:F5"/>
    <mergeCell ref="BN5:BY5"/>
    <mergeCell ref="DY5:EB5"/>
    <mergeCell ref="A6:F6"/>
    <mergeCell ref="A7:F7"/>
    <mergeCell ref="A8:F8"/>
    <mergeCell ref="A9:F9"/>
    <mergeCell ref="A10:F10"/>
    <mergeCell ref="A11:F11"/>
    <mergeCell ref="DY11:EB11"/>
    <mergeCell ref="AO114:AP114"/>
    <mergeCell ref="AO121:AP121"/>
    <mergeCell ref="DY16:DY17"/>
    <mergeCell ref="DZ24:EA24"/>
    <mergeCell ref="DZ25:EA25"/>
    <mergeCell ref="AN56:AQ56"/>
    <mergeCell ref="AN98:AQ98"/>
    <mergeCell ref="AO99:AP99"/>
  </mergeCells>
  <conditionalFormatting sqref="DZ25:EB25">
    <cfRule type="colorScale" priority="2">
      <colorScale>
        <cfvo type="num" val="&quot;&lt;0&quot;"/>
        <cfvo type="num" val="&quot;&gt;=0&quot;"/>
        <color rgb="FFC00000"/>
        <color theme="1"/>
      </colorScale>
    </cfRule>
  </conditionalFormatting>
  <conditionalFormatting sqref="EB25">
    <cfRule type="cellIs" dxfId="4" priority="1" operator="lessThan">
      <formula>0</formula>
    </cfRule>
  </conditionalFormatting>
  <dataValidations count="12">
    <dataValidation type="whole" allowBlank="1" showInputMessage="1" showErrorMessage="1" sqref="DJ30:DL30" xr:uid="{3B66B42D-3719-44A7-A026-679DDF3D6332}">
      <formula1>#REF!</formula1>
      <formula2>#REF!</formula2>
    </dataValidation>
    <dataValidation allowBlank="1" showInputMessage="1" showErrorMessage="1" prompt="The sum of ration ingredients as a percent of the total dry matter in the diet must equal 100%." sqref="CF28:CG34 CF17:CG23 CF6:CG12 CF39 CF41:CG45 CG39:CG40" xr:uid="{60E25422-BFC0-4F06-928E-B172E5557672}"/>
    <dataValidation type="list" allowBlank="1" showInputMessage="1" showErrorMessage="1" sqref="CZ5:CZ18" xr:uid="{7EF7C009-BDCA-4D17-B8F8-7C4879319B73}">
      <formula1>$DD$6:$DD$7</formula1>
    </dataValidation>
    <dataValidation type="list" allowBlank="1" showInputMessage="1" showErrorMessage="1" sqref="DN5:DN29" xr:uid="{0092AA03-A75D-4E6F-956A-330EAB9ED1A3}">
      <formula1>$CW$5:$CW$18</formula1>
    </dataValidation>
    <dataValidation type="list" allowBlank="1" showInputMessage="1" showErrorMessage="1" sqref="CO3" xr:uid="{7FFA1BE2-286A-4CF9-9860-74EF71C29994}">
      <formula1>$BN$7:$BN$11</formula1>
    </dataValidation>
    <dataValidation type="date" allowBlank="1" showInputMessage="1" showErrorMessage="1" error="Feed start date must be later than the first date cattle are purchased and before the date that the sale is recorded." prompt="Feed start date must be later than the first date cattle are purchased and before the date that the sale is recorded." sqref="BO7:BO11" xr:uid="{2526BA1D-3BA1-4C88-9DAA-8F778F64A864}">
      <formula1>$BO$2</formula1>
      <formula2>$BQ$2</formula2>
    </dataValidation>
    <dataValidation type="whole" allowBlank="1" showInputMessage="1" showErrorMessage="1" sqref="DJ5:DJ29" xr:uid="{89CD2668-1339-4E92-B735-D3A9D5AD9B8E}">
      <formula1>MIN(AN6:AN55)</formula1>
      <formula2>MAX(AN6:AN55)</formula2>
    </dataValidation>
    <dataValidation type="date" allowBlank="1" showInputMessage="1" showErrorMessage="1" error="Feed end date must be later than the first date cattle are purchased and on or before the date that the sale is recorded." prompt="Feed end date must be later than the first date cattle are purchased and on or before the date that the sale is recorded." sqref="BP7:BP11" xr:uid="{F04FA61B-7C9E-4858-AFC3-F5EE74604202}">
      <formula1>$BO$2</formula1>
      <formula2>$BQ$2</formula2>
    </dataValidation>
    <dataValidation type="whole" allowBlank="1" showInputMessage="1" showErrorMessage="1" sqref="DK5:DK29" xr:uid="{34134241-6747-4D8B-BEB0-1CC4C632260F}">
      <formula1>MIN($AP$6:$AP$55,$AR$2,$AS$2,$AV$2,$AX$2,$AZ$2)</formula1>
      <formula2>MAX($AP$6:$AP$55,$AR$2,$AS$2,$AV$2,$AX$2,$AZ$2)</formula2>
    </dataValidation>
    <dataValidation type="whole" allowBlank="1" showInputMessage="1" showErrorMessage="1" error="The number of head sold exceeds the number of animals purchased or entered into the program." sqref="AA15" xr:uid="{0243FFEF-C344-454B-A952-9F5F4353ED18}">
      <formula1>0</formula1>
      <formula2>R15</formula2>
    </dataValidation>
    <dataValidation type="custom" allowBlank="1" showInputMessage="1" showErrorMessage="1" error="Sum of animals sold exceeds the number of head purchased or entered into the program." sqref="AA5:AA14" xr:uid="{469B6ADB-1F92-4497-9C43-E2489276773B}">
      <formula1>SUM($AA$5:$AA$14)&lt;=$R$15</formula1>
    </dataValidation>
    <dataValidation type="list" allowBlank="1" showInputMessage="1" showErrorMessage="1" sqref="S5:S14" xr:uid="{4BFFD528-4BA4-4D92-9A8D-03BEEC661088}">
      <formula1>$AH$7:$AH$11</formula1>
    </dataValidation>
  </dataValidations>
  <hyperlinks>
    <hyperlink ref="BG1:BJ2" location="'Lot 2'!A1" display="Return to navigation menu" xr:uid="{CA4DD5E7-AC71-47B8-B4F9-5D179F402F83}"/>
    <hyperlink ref="AG1:AJ2" location="'Lot 2'!A1" display="Return to navigation menu" xr:uid="{D354F2EF-02F5-437C-ACA3-BD7AB4AF772C}"/>
    <hyperlink ref="EC1:EF2" location="'Lot 2'!A1" display="Return to navigation menu" xr:uid="{AF92284C-C6FE-477A-91BB-311515253916}"/>
    <hyperlink ref="DR1:DU2" location="'Lot 2'!A1" display="Return to navigation menu" xr:uid="{4E1F1F29-7CBD-4EBA-9EC0-FACD07F3E2AD}"/>
    <hyperlink ref="CP1:CS2" location="'Lot 2'!A1" display="Return to navigation menu" xr:uid="{6A7C1609-292E-46A0-9852-D633ABF2AF71}"/>
    <hyperlink ref="EM1:EP2" location="'Lot 2'!A1" display="Return to navigation menu" xr:uid="{F25109E4-ACB3-428C-85DA-6084EF847960}"/>
    <hyperlink ref="DC1:DF2" location="'Lot 2'!A1" display="Return to navigation menu" xr:uid="{A5936E5D-69EF-4B05-9B0C-00F5CD110D05}"/>
    <hyperlink ref="CI1:CI2" location="'Lot 2'!A1" display="Return to navigation menu" xr:uid="{CD63662E-5EF0-4B50-BDDD-A554601B13EB}"/>
    <hyperlink ref="L1:L2" location="'Lot 2'!A1" display="Return to navigation menu" xr:uid="{96363F72-D943-4961-82CB-C392B059C99F}"/>
    <hyperlink ref="A11:F11" location="'Lot 2'!EB1" display="Grower-finisher budget" xr:uid="{FE39079E-0165-4197-9AAB-87739E65B6B3}"/>
    <hyperlink ref="A10:F10" location="'Lot 2'!DP1" display="Individual animal treatments" xr:uid="{B607C406-6EBD-4416-8417-BD7191824AB7}"/>
    <hyperlink ref="A5:F5" location="'Lot 2'!AH1" display="Lot summary" xr:uid="{7E53C6FA-E3D4-4CA5-BD77-E3ACE23D7FFE}"/>
    <hyperlink ref="A6:F6" location="'Lot 2'!BI1" display="Animal information" xr:uid="{EF250DF4-219D-4BD1-9F76-0E1D58AD31C3}"/>
    <hyperlink ref="A9:F9" location="'Lot 2'!DD1" display="Veterinary" xr:uid="{AC539233-D9F9-48B2-BD2A-E0D1EC99D66F}"/>
    <hyperlink ref="A2:F2" location="'Lot 2'!L1" display="Inputs" xr:uid="{CAEA93C3-2B03-45F8-9B91-5AB3B86AB8DD}"/>
    <hyperlink ref="A7:F7" location="'Lot 2'!BY1" display="Feed ration builder" xr:uid="{AE4DC0AC-1E2A-43EE-AA13-BCB9C6F48727}"/>
    <hyperlink ref="A8:F8" location="'Lot 2'!CR1" display="Feed summary" xr:uid="{8CFE1935-FB70-4ECF-8380-A8ABF096A289}"/>
    <hyperlink ref="A12:F12" location="'Lot 2'!EM1" display="Financial analysis" xr:uid="{31E3463D-FD60-466C-8CAD-4E8FD6D6CB8D}"/>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7BD0C18-F523-4294-A42F-A52DF66E7C1D}">
          <x14:formula1>
            <xm:f>Feed!$B$4:$B$19</xm:f>
          </x14:formula1>
          <xm:sqref>CA6:CA11 CA28:CA33 CA39:CA44 CA50:CA55 CA17:CA22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18402-A2A3-4A0E-9F4A-0B81A06F2455}">
  <dimension ref="A1:EP121"/>
  <sheetViews>
    <sheetView showGridLines="0" workbookViewId="0">
      <selection sqref="A1:F1"/>
    </sheetView>
  </sheetViews>
  <sheetFormatPr defaultColWidth="11.28515625" defaultRowHeight="18.95" customHeight="1" x14ac:dyDescent="0.25"/>
  <cols>
    <col min="1" max="6" width="11.28515625" style="216"/>
    <col min="7" max="7" width="199.7109375" style="216" customWidth="1"/>
    <col min="8" max="8" width="11.28515625" style="216"/>
    <col min="9" max="9" width="46" style="216" bestFit="1" customWidth="1"/>
    <col min="10" max="10" width="11.28515625" style="216"/>
    <col min="11" max="11" width="14.42578125" style="216" bestFit="1" customWidth="1"/>
    <col min="12" max="12" width="34.7109375" style="216" bestFit="1" customWidth="1"/>
    <col min="13" max="13" width="141.28515625" style="216" customWidth="1"/>
    <col min="14" max="16" width="11.28515625" style="216"/>
    <col min="17" max="17" width="13.42578125" style="216" customWidth="1"/>
    <col min="18" max="25" width="11.28515625" style="216"/>
    <col min="26" max="26" width="6.7109375" style="216" customWidth="1"/>
    <col min="27" max="28" width="11.28515625" style="216"/>
    <col min="29" max="29" width="14.5703125" style="216" customWidth="1"/>
    <col min="30" max="30" width="13.28515625" style="216" customWidth="1"/>
    <col min="31" max="31" width="13.140625" style="216" customWidth="1"/>
    <col min="32" max="32" width="14.5703125" style="216" customWidth="1"/>
    <col min="33" max="40" width="11.28515625" style="216"/>
    <col min="41" max="41" width="7.140625" style="216" customWidth="1"/>
    <col min="42" max="43" width="11.28515625" style="216"/>
    <col min="44" max="44" width="11" style="216" customWidth="1"/>
    <col min="45" max="45" width="8.7109375" style="216" customWidth="1"/>
    <col min="46" max="46" width="0" style="216" hidden="1" customWidth="1"/>
    <col min="47" max="47" width="16.28515625" style="216" customWidth="1"/>
    <col min="48" max="48" width="11.28515625" style="216"/>
    <col min="49" max="49" width="18.85546875" style="216" bestFit="1" customWidth="1"/>
    <col min="50" max="50" width="11.28515625" style="216"/>
    <col min="51" max="51" width="16.28515625" style="216" customWidth="1"/>
    <col min="52" max="52" width="11.28515625" style="216"/>
    <col min="53" max="53" width="16.28515625" style="216" customWidth="1"/>
    <col min="54" max="54" width="11.28515625" style="216"/>
    <col min="55" max="55" width="11.28515625" style="411"/>
    <col min="56" max="62" width="11.28515625" style="216"/>
    <col min="63" max="64" width="11.28515625" style="213"/>
    <col min="65" max="65" width="11.28515625" style="216"/>
    <col min="66" max="66" width="29.28515625" style="216" customWidth="1"/>
    <col min="67" max="67" width="19.7109375" style="216" customWidth="1"/>
    <col min="68" max="68" width="19.85546875" style="216" customWidth="1"/>
    <col min="69" max="69" width="11.28515625" style="216"/>
    <col min="70" max="73" width="0" style="216" hidden="1" customWidth="1"/>
    <col min="74" max="74" width="24.85546875" style="216" customWidth="1"/>
    <col min="75" max="75" width="15.85546875" style="216" customWidth="1"/>
    <col min="76" max="76" width="16.28515625" style="216" customWidth="1"/>
    <col min="77" max="77" width="16.5703125" style="216" customWidth="1"/>
    <col min="78" max="78" width="11.28515625" style="216"/>
    <col min="79" max="79" width="35.28515625" style="216" customWidth="1"/>
    <col min="80" max="80" width="13.28515625" style="216" customWidth="1"/>
    <col min="81" max="81" width="14" style="216" customWidth="1"/>
    <col min="82" max="82" width="11.28515625" style="216"/>
    <col min="83" max="83" width="13.7109375" style="216" customWidth="1"/>
    <col min="84" max="84" width="11.28515625" style="216"/>
    <col min="85" max="85" width="13.7109375" style="216" customWidth="1"/>
    <col min="86" max="86" width="13.5703125" style="216" customWidth="1"/>
    <col min="87" max="87" width="34.7109375" style="216" bestFit="1" customWidth="1"/>
    <col min="88" max="88" width="141.85546875" style="216" customWidth="1"/>
    <col min="89" max="90" width="11.28515625" style="216"/>
    <col min="91" max="91" width="30" style="216" customWidth="1"/>
    <col min="92" max="92" width="12.28515625" style="216" customWidth="1"/>
    <col min="93" max="93" width="15.140625" style="216" customWidth="1"/>
    <col min="94" max="97" width="11.28515625" style="216"/>
    <col min="98" max="98" width="49.28515625" style="216" customWidth="1"/>
    <col min="99" max="99" width="93.28515625" style="216" customWidth="1"/>
    <col min="100" max="100" width="11.28515625" style="216"/>
    <col min="101" max="101" width="19.42578125" style="216" customWidth="1"/>
    <col min="102" max="102" width="23" style="216" customWidth="1"/>
    <col min="103" max="103" width="12.42578125" style="216" customWidth="1"/>
    <col min="104" max="104" width="14.85546875" style="216" customWidth="1"/>
    <col min="105" max="105" width="12.140625" style="216" customWidth="1"/>
    <col min="106" max="106" width="13.28515625" style="216" customWidth="1"/>
    <col min="107" max="110" width="11.28515625" style="216"/>
    <col min="111" max="111" width="155.28515625" style="216" customWidth="1"/>
    <col min="112" max="112" width="17.85546875" style="216" customWidth="1"/>
    <col min="113" max="116" width="11.28515625" style="216"/>
    <col min="117" max="117" width="22.140625" style="216" customWidth="1"/>
    <col min="118" max="118" width="23.140625" style="216" customWidth="1"/>
    <col min="119" max="119" width="12.85546875" style="216" customWidth="1"/>
    <col min="120" max="120" width="17.5703125" style="216" customWidth="1"/>
    <col min="121" max="121" width="14.140625" style="216" customWidth="1"/>
    <col min="122" max="125" width="11.28515625" style="216"/>
    <col min="126" max="126" width="169.7109375" style="216" customWidth="1"/>
    <col min="127" max="128" width="11.28515625" style="216"/>
    <col min="129" max="129" width="18.85546875" style="216" bestFit="1" customWidth="1"/>
    <col min="130" max="130" width="29.140625" style="216" customWidth="1"/>
    <col min="131" max="131" width="11.85546875" style="216" bestFit="1" customWidth="1"/>
    <col min="132" max="132" width="12.5703125" style="216" customWidth="1"/>
    <col min="133" max="136" width="11.28515625" style="216"/>
    <col min="137" max="137" width="176.42578125" style="216" customWidth="1"/>
    <col min="138" max="140" width="11.28515625" style="216"/>
    <col min="141" max="141" width="26.28515625" style="216" bestFit="1" customWidth="1"/>
    <col min="142" max="142" width="13.28515625" style="216" customWidth="1"/>
    <col min="143" max="16384" width="11.28515625" style="216"/>
  </cols>
  <sheetData>
    <row r="1" spans="1:146" ht="24" thickBot="1" x14ac:dyDescent="0.3">
      <c r="A1" s="586" t="s">
        <v>272</v>
      </c>
      <c r="B1" s="587"/>
      <c r="C1" s="587"/>
      <c r="D1" s="587"/>
      <c r="E1" s="587"/>
      <c r="F1" s="588"/>
      <c r="G1" s="209"/>
      <c r="H1" s="210"/>
      <c r="I1" s="589" t="s">
        <v>331</v>
      </c>
      <c r="J1" s="590"/>
      <c r="K1" s="591"/>
      <c r="L1" s="592" t="s">
        <v>200</v>
      </c>
      <c r="M1" s="209"/>
      <c r="N1" s="209"/>
      <c r="O1" s="9"/>
      <c r="P1" s="593" t="s">
        <v>286</v>
      </c>
      <c r="Q1" s="594"/>
      <c r="R1" s="594"/>
      <c r="S1" s="594"/>
      <c r="T1" s="594"/>
      <c r="U1" s="594"/>
      <c r="V1" s="594"/>
      <c r="W1" s="594"/>
      <c r="X1" s="594"/>
      <c r="Y1" s="594"/>
      <c r="Z1" s="594"/>
      <c r="AA1" s="594"/>
      <c r="AB1" s="594"/>
      <c r="AC1" s="594"/>
      <c r="AD1" s="594"/>
      <c r="AE1" s="594"/>
      <c r="AF1" s="211"/>
      <c r="AG1" s="579" t="s">
        <v>200</v>
      </c>
      <c r="AH1" s="579"/>
      <c r="AI1" s="579"/>
      <c r="AJ1" s="579"/>
      <c r="AK1" s="9"/>
      <c r="AL1" s="209"/>
      <c r="AM1" s="9"/>
      <c r="AN1" s="595" t="s">
        <v>264</v>
      </c>
      <c r="AO1" s="596"/>
      <c r="AP1" s="596"/>
      <c r="AQ1" s="596"/>
      <c r="AR1" s="596"/>
      <c r="AS1" s="596"/>
      <c r="AT1" s="596"/>
      <c r="AU1" s="596"/>
      <c r="AV1" s="596"/>
      <c r="AW1" s="596"/>
      <c r="AX1" s="596"/>
      <c r="AY1" s="596"/>
      <c r="AZ1" s="596"/>
      <c r="BA1" s="596"/>
      <c r="BB1" s="596"/>
      <c r="BC1" s="596"/>
      <c r="BD1" s="596"/>
      <c r="BE1" s="596"/>
      <c r="BF1" s="597"/>
      <c r="BG1" s="579" t="s">
        <v>200</v>
      </c>
      <c r="BH1" s="579"/>
      <c r="BI1" s="579"/>
      <c r="BJ1" s="579"/>
      <c r="BM1" s="9"/>
      <c r="BN1" s="613" t="s">
        <v>327</v>
      </c>
      <c r="BO1" s="613"/>
      <c r="BP1" s="613"/>
      <c r="BQ1" s="613"/>
      <c r="BR1" s="613"/>
      <c r="BS1" s="613"/>
      <c r="BT1" s="613"/>
      <c r="BU1" s="613"/>
      <c r="BV1" s="613"/>
      <c r="BW1" s="613"/>
      <c r="BX1" s="613"/>
      <c r="BY1" s="613"/>
      <c r="BZ1" s="613"/>
      <c r="CA1" s="613"/>
      <c r="CB1" s="613"/>
      <c r="CC1" s="613"/>
      <c r="CD1" s="613"/>
      <c r="CE1" s="613"/>
      <c r="CF1" s="613"/>
      <c r="CG1" s="613"/>
      <c r="CH1" s="613"/>
      <c r="CI1" s="579" t="s">
        <v>200</v>
      </c>
      <c r="CJ1" s="214"/>
      <c r="CK1" s="214"/>
      <c r="CL1" s="215"/>
      <c r="CM1" s="580" t="s">
        <v>203</v>
      </c>
      <c r="CN1" s="581"/>
      <c r="CO1" s="582"/>
      <c r="CP1" s="579" t="s">
        <v>200</v>
      </c>
      <c r="CQ1" s="579"/>
      <c r="CR1" s="579"/>
      <c r="CS1" s="579"/>
      <c r="CV1" s="9"/>
      <c r="CW1" s="583" t="s">
        <v>281</v>
      </c>
      <c r="CX1" s="584"/>
      <c r="CY1" s="584"/>
      <c r="CZ1" s="584"/>
      <c r="DA1" s="584"/>
      <c r="DB1" s="585"/>
      <c r="DC1" s="579" t="s">
        <v>200</v>
      </c>
      <c r="DD1" s="579"/>
      <c r="DE1" s="579"/>
      <c r="DF1" s="579"/>
      <c r="DI1" s="9"/>
      <c r="DJ1" s="583" t="s">
        <v>196</v>
      </c>
      <c r="DK1" s="584"/>
      <c r="DL1" s="584"/>
      <c r="DM1" s="584"/>
      <c r="DN1" s="584"/>
      <c r="DO1" s="584"/>
      <c r="DP1" s="584"/>
      <c r="DQ1" s="585"/>
      <c r="DR1" s="579" t="s">
        <v>200</v>
      </c>
      <c r="DS1" s="579"/>
      <c r="DT1" s="579"/>
      <c r="DU1" s="579"/>
      <c r="DX1" s="9"/>
      <c r="DY1" s="610" t="s">
        <v>246</v>
      </c>
      <c r="DZ1" s="611"/>
      <c r="EA1" s="611"/>
      <c r="EB1" s="612"/>
      <c r="EC1" s="579" t="s">
        <v>200</v>
      </c>
      <c r="ED1" s="579"/>
      <c r="EE1" s="579"/>
      <c r="EF1" s="579"/>
      <c r="EJ1" s="9"/>
      <c r="EK1" s="610" t="s">
        <v>253</v>
      </c>
      <c r="EL1" s="612"/>
      <c r="EM1" s="579" t="s">
        <v>200</v>
      </c>
      <c r="EN1" s="579"/>
      <c r="EO1" s="579"/>
      <c r="EP1" s="579"/>
    </row>
    <row r="2" spans="1:146" s="183" customFormat="1" ht="45.75" thickBot="1" x14ac:dyDescent="0.3">
      <c r="A2" s="598" t="s">
        <v>331</v>
      </c>
      <c r="B2" s="599"/>
      <c r="C2" s="599"/>
      <c r="D2" s="599"/>
      <c r="E2" s="599"/>
      <c r="F2" s="600"/>
      <c r="G2" s="164"/>
      <c r="H2" s="165"/>
      <c r="I2" s="490" t="s">
        <v>249</v>
      </c>
      <c r="J2" s="491" t="s">
        <v>332</v>
      </c>
      <c r="K2" s="492" t="s">
        <v>333</v>
      </c>
      <c r="L2" s="592"/>
      <c r="M2" s="164"/>
      <c r="N2" s="164"/>
      <c r="O2" s="166"/>
      <c r="P2" s="163" t="s">
        <v>188</v>
      </c>
      <c r="Q2" s="167" t="s">
        <v>109</v>
      </c>
      <c r="R2" s="167" t="s">
        <v>412</v>
      </c>
      <c r="S2" s="167" t="s">
        <v>107</v>
      </c>
      <c r="T2" s="167" t="s">
        <v>413</v>
      </c>
      <c r="U2" s="167" t="s">
        <v>282</v>
      </c>
      <c r="V2" s="168" t="s">
        <v>285</v>
      </c>
      <c r="W2" s="169" t="s">
        <v>185</v>
      </c>
      <c r="X2" s="170" t="s">
        <v>108</v>
      </c>
      <c r="Y2" s="171" t="s">
        <v>414</v>
      </c>
      <c r="Z2" s="170" t="s">
        <v>350</v>
      </c>
      <c r="AA2" s="170" t="s">
        <v>412</v>
      </c>
      <c r="AB2" s="170" t="s">
        <v>287</v>
      </c>
      <c r="AC2" s="170" t="s">
        <v>185</v>
      </c>
      <c r="AD2" s="170" t="s">
        <v>108</v>
      </c>
      <c r="AE2" s="170" t="s">
        <v>414</v>
      </c>
      <c r="AF2" s="171" t="s">
        <v>137</v>
      </c>
      <c r="AG2" s="579"/>
      <c r="AH2" s="579"/>
      <c r="AI2" s="579"/>
      <c r="AJ2" s="579"/>
      <c r="AK2" s="166"/>
      <c r="AL2" s="164"/>
      <c r="AM2" s="166"/>
      <c r="AN2" s="601" t="s">
        <v>278</v>
      </c>
      <c r="AO2" s="602"/>
      <c r="AP2" s="602"/>
      <c r="AQ2" s="603"/>
      <c r="AR2" s="517"/>
      <c r="AS2" s="604"/>
      <c r="AT2" s="605"/>
      <c r="AU2" s="606"/>
      <c r="AV2" s="604"/>
      <c r="AW2" s="606"/>
      <c r="AX2" s="604"/>
      <c r="AY2" s="606"/>
      <c r="AZ2" s="604"/>
      <c r="BA2" s="605"/>
      <c r="BB2" s="607" t="s">
        <v>187</v>
      </c>
      <c r="BC2" s="608"/>
      <c r="BD2" s="608"/>
      <c r="BE2" s="608"/>
      <c r="BF2" s="609"/>
      <c r="BG2" s="579"/>
      <c r="BH2" s="579"/>
      <c r="BI2" s="579"/>
      <c r="BJ2" s="579"/>
      <c r="BK2" s="173"/>
      <c r="BL2" s="173"/>
      <c r="BM2" s="166"/>
      <c r="BN2" s="494" t="s">
        <v>345</v>
      </c>
      <c r="BO2" s="495">
        <f>MIN(AP6:AP55)</f>
        <v>0</v>
      </c>
      <c r="BP2" s="496" t="s">
        <v>346</v>
      </c>
      <c r="BQ2" s="495">
        <f>MAX(AR2:BB2)</f>
        <v>0</v>
      </c>
      <c r="BR2" s="177"/>
      <c r="BS2" s="177"/>
      <c r="BT2" s="177"/>
      <c r="BU2" s="177"/>
      <c r="BV2" s="166"/>
      <c r="BW2" s="166"/>
      <c r="BX2" s="166"/>
      <c r="BY2" s="166"/>
      <c r="BZ2" s="166"/>
      <c r="CA2" s="166"/>
      <c r="CB2" s="166"/>
      <c r="CC2" s="166"/>
      <c r="CD2" s="166"/>
      <c r="CE2" s="166"/>
      <c r="CF2" s="166"/>
      <c r="CG2" s="166"/>
      <c r="CH2" s="166"/>
      <c r="CI2" s="579"/>
      <c r="CJ2" s="178"/>
      <c r="CK2" s="178"/>
      <c r="CL2" s="179"/>
      <c r="CM2" s="180" t="s">
        <v>220</v>
      </c>
      <c r="CN2" s="181" t="s">
        <v>296</v>
      </c>
      <c r="CO2" s="182" t="s">
        <v>329</v>
      </c>
      <c r="CP2" s="579"/>
      <c r="CQ2" s="579"/>
      <c r="CR2" s="579"/>
      <c r="CS2" s="579"/>
      <c r="CV2" s="166"/>
      <c r="CW2" s="184" t="s">
        <v>304</v>
      </c>
      <c r="CX2" s="185" t="s">
        <v>305</v>
      </c>
      <c r="CY2" s="185" t="s">
        <v>415</v>
      </c>
      <c r="CZ2" s="185" t="s">
        <v>310</v>
      </c>
      <c r="DA2" s="185" t="s">
        <v>416</v>
      </c>
      <c r="DB2" s="186" t="s">
        <v>197</v>
      </c>
      <c r="DC2" s="579"/>
      <c r="DD2" s="579"/>
      <c r="DE2" s="579"/>
      <c r="DF2" s="579"/>
      <c r="DI2" s="166"/>
      <c r="DJ2" s="184" t="s">
        <v>195</v>
      </c>
      <c r="DK2" s="185" t="s">
        <v>348</v>
      </c>
      <c r="DL2" s="185" t="s">
        <v>349</v>
      </c>
      <c r="DM2" s="185" t="s">
        <v>322</v>
      </c>
      <c r="DN2" s="185" t="s">
        <v>321</v>
      </c>
      <c r="DO2" s="190" t="s">
        <v>417</v>
      </c>
      <c r="DP2" s="185" t="s">
        <v>199</v>
      </c>
      <c r="DQ2" s="186" t="s">
        <v>197</v>
      </c>
      <c r="DR2" s="579"/>
      <c r="DS2" s="579"/>
      <c r="DT2" s="579"/>
      <c r="DU2" s="579"/>
      <c r="DX2" s="166"/>
      <c r="DY2" s="163" t="s">
        <v>249</v>
      </c>
      <c r="DZ2" s="167" t="s">
        <v>110</v>
      </c>
      <c r="EA2" s="167"/>
      <c r="EB2" s="187"/>
      <c r="EC2" s="579"/>
      <c r="ED2" s="579"/>
      <c r="EE2" s="579"/>
      <c r="EF2" s="579"/>
      <c r="EJ2" s="166"/>
      <c r="EK2" s="188" t="s">
        <v>249</v>
      </c>
      <c r="EL2" s="189" t="s">
        <v>258</v>
      </c>
      <c r="EM2" s="579"/>
      <c r="EN2" s="579"/>
      <c r="EO2" s="579"/>
      <c r="EP2" s="579"/>
    </row>
    <row r="3" spans="1:146" ht="18.95" hidden="1" customHeight="1" x14ac:dyDescent="0.25">
      <c r="A3" s="614"/>
      <c r="B3" s="615"/>
      <c r="C3" s="615"/>
      <c r="D3" s="615"/>
      <c r="E3" s="615"/>
      <c r="F3" s="616"/>
      <c r="G3" s="209"/>
      <c r="H3" s="210"/>
      <c r="I3" s="220"/>
      <c r="J3" s="210"/>
      <c r="K3" s="221"/>
      <c r="L3" s="210"/>
      <c r="M3" s="209"/>
      <c r="N3" s="209"/>
      <c r="O3" s="9"/>
      <c r="P3" s="222"/>
      <c r="Q3" s="223"/>
      <c r="R3" s="223"/>
      <c r="S3" s="223"/>
      <c r="T3" s="223"/>
      <c r="U3" s="223"/>
      <c r="V3" s="224"/>
      <c r="W3" s="225"/>
      <c r="X3" s="226"/>
      <c r="Y3" s="227"/>
      <c r="Z3" s="226"/>
      <c r="AA3" s="226"/>
      <c r="AB3" s="226"/>
      <c r="AC3" s="226"/>
      <c r="AD3" s="226"/>
      <c r="AE3" s="226"/>
      <c r="AF3" s="226"/>
      <c r="AG3" s="212"/>
      <c r="AH3" s="212"/>
      <c r="AI3" s="212"/>
      <c r="AJ3" s="212"/>
      <c r="AK3" s="9"/>
      <c r="AL3" s="209"/>
      <c r="AM3" s="9"/>
      <c r="AN3" s="228"/>
      <c r="AO3" s="229" t="s">
        <v>347</v>
      </c>
      <c r="AP3" s="229"/>
      <c r="AQ3" s="229"/>
      <c r="AR3" s="230">
        <v>1</v>
      </c>
      <c r="AS3" s="230">
        <v>2</v>
      </c>
      <c r="AT3" s="231"/>
      <c r="AU3" s="232"/>
      <c r="AV3" s="230">
        <v>3</v>
      </c>
      <c r="AW3" s="232"/>
      <c r="AX3" s="230">
        <v>4</v>
      </c>
      <c r="AY3" s="232"/>
      <c r="AZ3" s="230">
        <v>5</v>
      </c>
      <c r="BA3" s="231"/>
      <c r="BB3" s="233"/>
      <c r="BC3" s="509"/>
      <c r="BD3" s="234"/>
      <c r="BE3" s="234"/>
      <c r="BF3" s="235"/>
      <c r="BG3" s="212"/>
      <c r="BH3" s="212"/>
      <c r="BI3" s="212"/>
      <c r="BJ3" s="212"/>
      <c r="BM3" s="9"/>
      <c r="BN3" s="9"/>
      <c r="BO3" s="9"/>
      <c r="BP3" s="9"/>
      <c r="BQ3" s="9"/>
      <c r="BR3" s="9"/>
      <c r="BS3" s="9"/>
      <c r="BT3" s="9"/>
      <c r="BU3" s="9"/>
      <c r="BV3" s="9"/>
      <c r="BW3" s="9"/>
      <c r="BX3" s="9"/>
      <c r="BY3" s="9"/>
      <c r="BZ3" s="9"/>
      <c r="CA3" s="9"/>
      <c r="CB3" s="9"/>
      <c r="CC3" s="9"/>
      <c r="CD3" s="9"/>
      <c r="CE3" s="9"/>
      <c r="CF3" s="9"/>
      <c r="CG3" s="9"/>
      <c r="CH3" s="9"/>
      <c r="CI3" s="9"/>
      <c r="CL3" s="9"/>
      <c r="CM3" s="236"/>
      <c r="CN3" s="237"/>
      <c r="CO3" s="238"/>
      <c r="CP3" s="212"/>
      <c r="CQ3" s="212"/>
      <c r="CR3" s="212"/>
      <c r="CS3" s="212"/>
      <c r="CV3" s="9"/>
      <c r="CW3" s="239"/>
      <c r="CX3" s="12"/>
      <c r="CY3" s="12"/>
      <c r="CZ3" s="12"/>
      <c r="DA3" s="12"/>
      <c r="DB3" s="240"/>
      <c r="DC3" s="212"/>
      <c r="DD3" s="212"/>
      <c r="DE3" s="212"/>
      <c r="DF3" s="212"/>
      <c r="DI3" s="9"/>
      <c r="DJ3" s="239"/>
      <c r="DK3" s="12"/>
      <c r="DL3" s="12"/>
      <c r="DM3" s="12"/>
      <c r="DN3" s="12"/>
      <c r="DO3" s="12"/>
      <c r="DP3" s="12"/>
      <c r="DQ3" s="240"/>
      <c r="DR3" s="212"/>
      <c r="DS3" s="212"/>
      <c r="DT3" s="212"/>
      <c r="DU3" s="212"/>
      <c r="DX3" s="9"/>
      <c r="DY3" s="222"/>
      <c r="DZ3" s="223"/>
      <c r="EA3" s="223"/>
      <c r="EB3" s="241"/>
      <c r="EC3" s="212"/>
      <c r="ED3" s="212"/>
      <c r="EE3" s="212"/>
      <c r="EF3" s="212"/>
      <c r="EJ3" s="9"/>
      <c r="EK3" s="242"/>
      <c r="EL3" s="243"/>
      <c r="EM3" s="212"/>
      <c r="EN3" s="212"/>
      <c r="EO3" s="212"/>
      <c r="EP3" s="212"/>
    </row>
    <row r="4" spans="1:146" ht="21" hidden="1" customHeight="1" thickBot="1" x14ac:dyDescent="0.3">
      <c r="A4" s="217"/>
      <c r="B4" s="218"/>
      <c r="C4" s="218"/>
      <c r="D4" s="218"/>
      <c r="E4" s="218"/>
      <c r="F4" s="219"/>
      <c r="G4" s="244"/>
      <c r="H4" s="245"/>
      <c r="I4" s="246"/>
      <c r="J4" s="247"/>
      <c r="K4" s="248"/>
      <c r="L4" s="245"/>
      <c r="M4" s="244"/>
      <c r="N4" s="244"/>
      <c r="O4" s="9"/>
      <c r="P4" s="222"/>
      <c r="R4" s="223"/>
      <c r="S4" s="223"/>
      <c r="T4" s="223"/>
      <c r="U4" s="223"/>
      <c r="V4" s="224"/>
      <c r="W4" s="225"/>
      <c r="X4" s="226"/>
      <c r="Y4" s="227"/>
      <c r="Z4" s="226"/>
      <c r="AA4" s="226"/>
      <c r="AB4" s="226"/>
      <c r="AC4" s="226"/>
      <c r="AD4" s="226"/>
      <c r="AE4" s="226"/>
      <c r="AF4" s="226"/>
      <c r="AG4" s="212"/>
      <c r="AH4" s="212"/>
      <c r="AI4" s="212"/>
      <c r="AJ4" s="212"/>
      <c r="AK4" s="9"/>
      <c r="AL4" s="244"/>
      <c r="AM4" s="9"/>
      <c r="AN4" s="228"/>
      <c r="AO4" s="249" t="str">
        <f>V15</f>
        <v>-</v>
      </c>
      <c r="AP4" s="250" t="e">
        <f>AVERAGE(AP6:AP55)</f>
        <v>#DIV/0!</v>
      </c>
      <c r="AQ4" s="229"/>
      <c r="AR4" s="251"/>
      <c r="AS4" s="252"/>
      <c r="AT4" s="234"/>
      <c r="AU4" s="232">
        <f>IF(ISBLANK(AS2),0,DAYS360($AR$2,AS2,FALSE))</f>
        <v>0</v>
      </c>
      <c r="AV4" s="252"/>
      <c r="AW4" s="232">
        <f>IF(ISBLANK(AV2),0,DAYS360(AS2,AV2,FALSE))</f>
        <v>0</v>
      </c>
      <c r="AX4" s="252"/>
      <c r="AY4" s="232">
        <f>IF(ISBLANK(AX2),0,DAYS360(AV2,AX2,FALSE))</f>
        <v>0</v>
      </c>
      <c r="AZ4" s="252"/>
      <c r="BA4" s="253">
        <f>DAYS360(MAX(AR2,AS2,AV2,AX2),AZ2,FALSE)</f>
        <v>0</v>
      </c>
      <c r="BB4" s="233">
        <f>IF(ISBLANK(AZ2),0,DAYS360($AR$2,AZ2,FALSE))</f>
        <v>0</v>
      </c>
      <c r="BC4" s="510"/>
      <c r="BD4" s="234"/>
      <c r="BE4" s="234"/>
      <c r="BF4" s="235"/>
      <c r="BG4" s="9"/>
      <c r="BH4" s="9"/>
      <c r="BI4" s="9"/>
      <c r="BJ4" s="9"/>
      <c r="BM4" s="9"/>
      <c r="BN4" s="9"/>
      <c r="BO4" s="9"/>
      <c r="BP4" s="9"/>
      <c r="BQ4" s="9"/>
      <c r="BR4" s="9"/>
      <c r="BS4" s="9"/>
      <c r="BT4" s="9"/>
      <c r="BU4" s="9"/>
      <c r="BV4" s="9"/>
      <c r="BW4" s="9"/>
      <c r="BX4" s="9"/>
      <c r="BY4" s="9"/>
      <c r="BZ4" s="9"/>
      <c r="CA4" s="9"/>
      <c r="CB4" s="9"/>
      <c r="CC4" s="9"/>
      <c r="CD4" s="9"/>
      <c r="CE4" s="9"/>
      <c r="CF4" s="9"/>
      <c r="CG4" s="9"/>
      <c r="CH4" s="9"/>
      <c r="CI4" s="9"/>
      <c r="CL4" s="9"/>
      <c r="CM4" s="254" t="s">
        <v>223</v>
      </c>
      <c r="CN4" s="255"/>
      <c r="CO4" s="256">
        <v>6.75</v>
      </c>
      <c r="CP4" s="212"/>
      <c r="CQ4" s="212"/>
      <c r="CR4" s="212"/>
      <c r="CS4" s="212"/>
      <c r="CV4" s="9"/>
      <c r="CW4" s="239"/>
      <c r="CX4" s="12"/>
      <c r="CY4" s="12"/>
      <c r="CZ4" s="12"/>
      <c r="DA4" s="12"/>
      <c r="DB4" s="240"/>
      <c r="DC4" s="212"/>
      <c r="DD4" s="212"/>
      <c r="DE4" s="212"/>
      <c r="DF4" s="212"/>
      <c r="DI4" s="9"/>
      <c r="DJ4" s="239"/>
      <c r="DK4" s="12"/>
      <c r="DL4" s="12"/>
      <c r="DM4" s="12"/>
      <c r="DN4" s="12"/>
      <c r="DO4" s="12"/>
      <c r="DP4" s="12"/>
      <c r="DQ4" s="240"/>
      <c r="DR4" s="212"/>
      <c r="DS4" s="212"/>
      <c r="DT4" s="212"/>
      <c r="DU4" s="212"/>
      <c r="DX4" s="9"/>
      <c r="DY4" s="222"/>
      <c r="DZ4" s="223"/>
      <c r="EA4" s="223"/>
      <c r="EB4" s="241"/>
      <c r="EC4" s="212"/>
      <c r="ED4" s="212"/>
      <c r="EE4" s="212"/>
      <c r="EF4" s="212"/>
      <c r="EJ4" s="9"/>
      <c r="EK4" s="242"/>
      <c r="EL4" s="243"/>
      <c r="EM4" s="212"/>
      <c r="EN4" s="212"/>
      <c r="EO4" s="212"/>
      <c r="EP4" s="212"/>
    </row>
    <row r="5" spans="1:146" ht="31.5" x14ac:dyDescent="0.25">
      <c r="A5" s="614" t="s">
        <v>186</v>
      </c>
      <c r="B5" s="615"/>
      <c r="C5" s="615"/>
      <c r="D5" s="615"/>
      <c r="E5" s="615"/>
      <c r="F5" s="616"/>
      <c r="G5" s="244"/>
      <c r="H5" s="245"/>
      <c r="I5" s="257" t="s">
        <v>334</v>
      </c>
      <c r="J5" s="456"/>
      <c r="K5" s="258" t="s">
        <v>54</v>
      </c>
      <c r="L5" s="245"/>
      <c r="M5" s="244"/>
      <c r="N5" s="244"/>
      <c r="O5" s="259">
        <f>R5</f>
        <v>0</v>
      </c>
      <c r="P5" s="260">
        <v>1</v>
      </c>
      <c r="Q5" s="461"/>
      <c r="R5" s="261">
        <f>U5-T5+IF(ISBLANK(T5),0,1)</f>
        <v>0</v>
      </c>
      <c r="S5" s="463"/>
      <c r="T5" s="464"/>
      <c r="U5" s="465"/>
      <c r="V5" s="466"/>
      <c r="W5" s="467"/>
      <c r="X5" s="262">
        <f>IFERROR(V5/100*W5*R5,0)</f>
        <v>0</v>
      </c>
      <c r="Y5" s="263" t="str">
        <f>IFERROR(X5/R5,"-")</f>
        <v>-</v>
      </c>
      <c r="Z5" s="264">
        <v>1</v>
      </c>
      <c r="AA5" s="474"/>
      <c r="AB5" s="474"/>
      <c r="AC5" s="467"/>
      <c r="AD5" s="262">
        <f>IFERROR(AB5/100*AC5*R5,0)</f>
        <v>0</v>
      </c>
      <c r="AE5" s="265" t="str">
        <f>IFERROR(AD5/R5,"-")</f>
        <v>-</v>
      </c>
      <c r="AF5" s="266" t="str">
        <f>IFERROR(IF(AE5&lt;1,0,AE5-Y5-$CO$18),"-")</f>
        <v>-</v>
      </c>
      <c r="AG5" s="212"/>
      <c r="AH5" s="212"/>
      <c r="AI5" s="212"/>
      <c r="AJ5" s="212"/>
      <c r="AK5" s="9"/>
      <c r="AL5" s="244"/>
      <c r="AM5" s="9"/>
      <c r="AN5" s="267" t="s">
        <v>129</v>
      </c>
      <c r="AO5" s="185" t="s">
        <v>188</v>
      </c>
      <c r="AP5" s="268" t="s">
        <v>189</v>
      </c>
      <c r="AQ5" s="268" t="s">
        <v>136</v>
      </c>
      <c r="AR5" s="520" t="s">
        <v>423</v>
      </c>
      <c r="AS5" s="269" t="s">
        <v>131</v>
      </c>
      <c r="AT5" s="268" t="s">
        <v>279</v>
      </c>
      <c r="AU5" s="518" t="s">
        <v>130</v>
      </c>
      <c r="AV5" s="269" t="s">
        <v>132</v>
      </c>
      <c r="AW5" s="518" t="s">
        <v>130</v>
      </c>
      <c r="AX5" s="269" t="s">
        <v>133</v>
      </c>
      <c r="AY5" s="518" t="s">
        <v>130</v>
      </c>
      <c r="AZ5" s="269" t="s">
        <v>365</v>
      </c>
      <c r="BA5" s="519" t="s">
        <v>130</v>
      </c>
      <c r="BB5" s="271" t="s">
        <v>102</v>
      </c>
      <c r="BC5" s="511" t="s">
        <v>280</v>
      </c>
      <c r="BD5" s="190" t="s">
        <v>134</v>
      </c>
      <c r="BE5" s="190" t="s">
        <v>194</v>
      </c>
      <c r="BF5" s="272" t="s">
        <v>137</v>
      </c>
      <c r="BG5" s="9"/>
      <c r="BH5" s="9"/>
      <c r="BI5" s="9"/>
      <c r="BJ5" s="9"/>
      <c r="BM5" s="9"/>
      <c r="BN5" s="617" t="s">
        <v>219</v>
      </c>
      <c r="BO5" s="618"/>
      <c r="BP5" s="618"/>
      <c r="BQ5" s="618"/>
      <c r="BR5" s="618"/>
      <c r="BS5" s="618"/>
      <c r="BT5" s="618"/>
      <c r="BU5" s="618"/>
      <c r="BV5" s="618"/>
      <c r="BW5" s="618"/>
      <c r="BX5" s="618"/>
      <c r="BY5" s="619"/>
      <c r="BZ5" s="9"/>
      <c r="CA5" s="273" t="str">
        <f>IF(BN7=$BN$17,"-",BN7)</f>
        <v>-</v>
      </c>
      <c r="CB5" s="54" t="s">
        <v>328</v>
      </c>
      <c r="CC5" s="54" t="s">
        <v>205</v>
      </c>
      <c r="CD5" s="54" t="s">
        <v>95</v>
      </c>
      <c r="CE5" s="54" t="s">
        <v>326</v>
      </c>
      <c r="CF5" s="54" t="s">
        <v>206</v>
      </c>
      <c r="CG5" s="54" t="s">
        <v>234</v>
      </c>
      <c r="CH5" s="274" t="s">
        <v>209</v>
      </c>
      <c r="CI5" s="9"/>
      <c r="CL5" s="9"/>
      <c r="CM5" s="254" t="str">
        <f>CA5</f>
        <v>-</v>
      </c>
      <c r="CN5" s="275">
        <f>BQ7</f>
        <v>0</v>
      </c>
      <c r="CO5" s="276">
        <f>CG13</f>
        <v>0</v>
      </c>
      <c r="CP5" s="277">
        <f>CE13</f>
        <v>0</v>
      </c>
      <c r="CQ5" s="277">
        <f>IFERROR(CH14,0)</f>
        <v>0</v>
      </c>
      <c r="CR5" s="212"/>
      <c r="CS5" s="212"/>
      <c r="CV5" s="9"/>
      <c r="CW5" s="484"/>
      <c r="CX5" s="485"/>
      <c r="CY5" s="487"/>
      <c r="CZ5" s="487"/>
      <c r="DA5" s="485"/>
      <c r="DB5" s="278">
        <f>DA5*CY5</f>
        <v>0</v>
      </c>
      <c r="DC5" s="212"/>
      <c r="DD5" s="212"/>
      <c r="DE5" s="212"/>
      <c r="DF5" s="212"/>
      <c r="DI5" s="9"/>
      <c r="DJ5" s="484"/>
      <c r="DK5" s="489"/>
      <c r="DL5" s="9" t="str">
        <f t="shared" ref="DL5:DL29" si="0">IFERROR(VLOOKUP(DJ5,$AN$6:$AQ$55,4,FALSE),"-")</f>
        <v>-</v>
      </c>
      <c r="DM5" s="485"/>
      <c r="DN5" s="485"/>
      <c r="DO5" s="279" t="str">
        <f>IFERROR(VLOOKUP(DN5,$CW$5:$DA$18,3,FALSE),"")</f>
        <v/>
      </c>
      <c r="DP5" s="485"/>
      <c r="DQ5" s="278" t="str">
        <f>IFERROR(DP5*DO5,"")</f>
        <v/>
      </c>
      <c r="DR5" s="212"/>
      <c r="DS5" s="280">
        <f>AR2</f>
        <v>0</v>
      </c>
      <c r="DT5" s="212"/>
      <c r="DU5" s="212"/>
      <c r="DX5" s="9"/>
      <c r="DY5" s="620" t="s">
        <v>247</v>
      </c>
      <c r="DZ5" s="621"/>
      <c r="EA5" s="621"/>
      <c r="EB5" s="622"/>
      <c r="EC5" s="212"/>
      <c r="ED5" s="212"/>
      <c r="EE5" s="212"/>
      <c r="EF5" s="212"/>
      <c r="EJ5" s="9"/>
      <c r="EK5" s="281" t="s">
        <v>269</v>
      </c>
      <c r="EL5" s="282" t="str">
        <f>IFERROR(EL6*R15,"-")</f>
        <v>-</v>
      </c>
      <c r="EM5" s="212"/>
      <c r="EN5" s="212"/>
      <c r="EO5" s="212"/>
      <c r="EP5" s="212"/>
    </row>
    <row r="6" spans="1:146" ht="30" x14ac:dyDescent="0.25">
      <c r="A6" s="614" t="s">
        <v>284</v>
      </c>
      <c r="B6" s="615"/>
      <c r="C6" s="615"/>
      <c r="D6" s="615"/>
      <c r="E6" s="615"/>
      <c r="F6" s="616"/>
      <c r="G6" s="283"/>
      <c r="H6" s="284"/>
      <c r="I6" s="285" t="s">
        <v>335</v>
      </c>
      <c r="J6" s="456"/>
      <c r="K6" s="286" t="s">
        <v>46</v>
      </c>
      <c r="L6" s="284"/>
      <c r="M6" s="283"/>
      <c r="N6" s="283"/>
      <c r="O6" s="259">
        <f>R5+R6</f>
        <v>0</v>
      </c>
      <c r="P6" s="260">
        <v>2</v>
      </c>
      <c r="Q6" s="461"/>
      <c r="R6" s="287">
        <f t="shared" ref="R6:R14" si="1">U6-T6+IF(ISBLANK(T6),0,1)</f>
        <v>0</v>
      </c>
      <c r="S6" s="467"/>
      <c r="T6" s="464"/>
      <c r="U6" s="465"/>
      <c r="V6" s="466"/>
      <c r="W6" s="467"/>
      <c r="X6" s="262">
        <f t="shared" ref="X6:X14" si="2">IFERROR(V6/100*W6*R6,0)</f>
        <v>0</v>
      </c>
      <c r="Y6" s="263" t="str">
        <f t="shared" ref="Y6:Y14" si="3">IFERROR(X6/R6,"-")</f>
        <v>-</v>
      </c>
      <c r="Z6" s="264">
        <v>2</v>
      </c>
      <c r="AA6" s="474"/>
      <c r="AB6" s="474"/>
      <c r="AC6" s="467"/>
      <c r="AD6" s="262">
        <f t="shared" ref="AD6:AD14" si="4">IFERROR(AB6/100*AC6*R6,0)</f>
        <v>0</v>
      </c>
      <c r="AE6" s="265" t="str">
        <f t="shared" ref="AE6:AE14" si="5">IFERROR(AD6/R6,"-")</f>
        <v>-</v>
      </c>
      <c r="AF6" s="266" t="str">
        <f t="shared" ref="AF6:AF14" si="6">IFERROR(IF(AE6&lt;1,0,AE6-Y6-$CO$18),"-")</f>
        <v>-</v>
      </c>
      <c r="AG6" s="9"/>
      <c r="AH6" s="9"/>
      <c r="AI6" s="9"/>
      <c r="AJ6" s="9"/>
      <c r="AK6" s="9"/>
      <c r="AL6" s="283"/>
      <c r="AM6" s="259">
        <v>1</v>
      </c>
      <c r="AN6" s="288">
        <f>T5</f>
        <v>0</v>
      </c>
      <c r="AO6" s="9" t="str">
        <f>IF(AM6&lt;=$O$5,$P$5,IF(AM6&lt;=$O$6,$P$6,IF(AM6&lt;=$O$7,$P$7,IF(AM6&lt;=$O$8,$P$8,IF(AM6&lt;=$O$9,$P$9,IF(AM6&lt;=$O$10,$P$10,IF(AM6&lt;=$O$11,$P$11,IF(AM6&lt;=$O$12,$P$12,IF(AM6&lt;=$O13,$P13,IF(AM6&lt;=$O$14,$P$14,"-"))))))))))</f>
        <v>-</v>
      </c>
      <c r="AP6" s="289" t="str">
        <f>IFERROR(VLOOKUP(AO6,$P$5:$Q$14,2,FALSE),"-")</f>
        <v>-</v>
      </c>
      <c r="AQ6" s="9" t="str">
        <f>IFERROR(VLOOKUP(AO6,$P$5:$S$14,4,FALSE),"-")</f>
        <v>-</v>
      </c>
      <c r="AR6" s="453"/>
      <c r="AS6" s="453"/>
      <c r="AT6" s="229" t="str">
        <f>IFERROR($AS$2-AP6,"-")</f>
        <v>-</v>
      </c>
      <c r="AU6" s="290" t="str">
        <f>IFERROR(IF((AS6-AR6)/AT6&lt;-3,"CHECK INPUTS",(AS6-AR6)/AT6),"N/A")</f>
        <v>N/A</v>
      </c>
      <c r="AV6" s="453"/>
      <c r="AW6" s="290" t="str">
        <f t="shared" ref="AW6:AW55" si="7">IFERROR(IF((AV6-AS6)/AW$4&lt;-3,"CHECK INPUTS",IF((AV6-AS6)/AW$4&gt;0,(AV6-AS6)/AW$4,"-")),"N/A")</f>
        <v>N/A</v>
      </c>
      <c r="AX6" s="453"/>
      <c r="AY6" s="290" t="str">
        <f>IFERROR(IF((AX6-AV6)/AY$4&lt;-3,"CHECK INPUTS",IF((AX6-AV6)/AY$4&gt;0,(AX6-AV6)/AY$4,"-")),"N/A")</f>
        <v>N/A</v>
      </c>
      <c r="AZ6" s="453"/>
      <c r="BA6" s="291" t="str">
        <f>IFERROR(IF((AZ6-AX6)/BA$4&lt;-3,"CHECK INPUTS",IF((AZ6-AX6)/BA$4&gt;0,(AZ6-AX6)/BA$4,"-")),"N/A")</f>
        <v>N/A</v>
      </c>
      <c r="BB6" s="292" t="str">
        <f>IF(ISERROR(MAX(AZ6,AX6,AV6,AS6,AR6)-AR6),"-",IF(MAX(AZ6,AX6,AV6,AS6,AR6)-AR6=0,"-",MAX(AZ6,AX6,AV6,AS6,AR6)-AR6))</f>
        <v>-</v>
      </c>
      <c r="BC6" s="512" t="str">
        <f>IFERROR(MAX($AR$2,$AS$2,$AV$2,$AX$2,$AZ$2)-AP6,"-")</f>
        <v>-</v>
      </c>
      <c r="BD6" s="293" t="str">
        <f>IFERROR(IF((MAX(AZ6,AX6,AV6,AS6,AR6)-AR6)/BC6&gt;0,(MAX(AZ6,AX6,AV6,AS6,AR6)-AR6)/BC6,"-"),"-")</f>
        <v>-</v>
      </c>
      <c r="BE6" s="293" t="str">
        <f>IF(SUMIF($DJ$5:$DJ$30,AN6,$DQ$5:$DQ$30)&gt;0,SUMIF($DJ$5:$DJ$30,AN6,$DQ$5:$DQ$30),"-")</f>
        <v>-</v>
      </c>
      <c r="BF6" s="294" t="str">
        <f>IFERROR(IF(ISBLANK(AR6),"-",IF(OR(AR6=$AR$57,AS6=$AR$57,AV6=$AR$57,AX6=$AR$57,AZ6=$AR$57),-VLOOKUP(AO6,$P$5:$Y$14,10,FALSE)-BC6*$CO$19,IF(ISBLANK(AR6),0,MAX(AZ6,AX6,AV6,AS6,AR6)*$AC$15/100-VLOOKUP(AO6,$P$5:$Y$14,10,FALSE))-BC6*$CO$19)),"-")</f>
        <v>-</v>
      </c>
      <c r="BG6" s="9"/>
      <c r="BH6" s="9"/>
      <c r="BI6" s="9"/>
      <c r="BJ6" s="9"/>
      <c r="BM6" s="9"/>
      <c r="BN6" s="504" t="s">
        <v>220</v>
      </c>
      <c r="BO6" s="505" t="s">
        <v>294</v>
      </c>
      <c r="BP6" s="505" t="s">
        <v>295</v>
      </c>
      <c r="BQ6" s="505" t="s">
        <v>296</v>
      </c>
      <c r="BR6" s="505" t="s">
        <v>297</v>
      </c>
      <c r="BS6" s="505" t="s">
        <v>298</v>
      </c>
      <c r="BT6" s="505" t="s">
        <v>299</v>
      </c>
      <c r="BU6" s="505" t="s">
        <v>300</v>
      </c>
      <c r="BV6" s="505" t="s">
        <v>221</v>
      </c>
      <c r="BW6" s="505" t="s">
        <v>228</v>
      </c>
      <c r="BX6" s="505" t="s">
        <v>229</v>
      </c>
      <c r="BY6" s="506" t="s">
        <v>231</v>
      </c>
      <c r="BZ6" s="9"/>
      <c r="CA6" s="476"/>
      <c r="CB6" s="515">
        <f>IFERROR(VLOOKUP(CA6,Feed!$B$4:$H$19,2,FALSE)*($BR$7/$BQ$7)+VLOOKUP(CA6,Feed!$B$4:$H$19,3,FALSE)*($BS$7/$BQ$7)+VLOOKUP(CA6,Feed!$B$4:$H$19,4,FALSE)*($BT$7/$BQ$7)+VLOOKUP(CA6,Feed!$B$4:$H$19,5,FALSE)*($BU$7/$BQ$7),0)</f>
        <v>0</v>
      </c>
      <c r="CC6" s="299" t="str">
        <f t="shared" ref="CC6:CC11" si="8">IFERROR(VLOOKUP($CA6,FeedIngLst,6,FALSE),"-")</f>
        <v>-</v>
      </c>
      <c r="CD6" s="299" t="str">
        <f t="shared" ref="CD6:CD11" si="9">IFERROR(VLOOKUP($CA6,FeedIngLst,7,FALSE),"-")</f>
        <v>-</v>
      </c>
      <c r="CE6" s="482"/>
      <c r="CF6" s="299" t="str">
        <f>IFERROR(CE6/$CE$13,"-")</f>
        <v>-</v>
      </c>
      <c r="CG6" s="300">
        <f t="shared" ref="CG6:CG13" si="10">CE6*$R$15*$BQ$7/2000</f>
        <v>0</v>
      </c>
      <c r="CH6" s="301" t="str">
        <f t="shared" ref="CH6:CH12" si="11">IFERROR($CB6/$CC6/(1-$CD6),"-")</f>
        <v>-</v>
      </c>
      <c r="CI6" s="9"/>
      <c r="CL6" s="9"/>
      <c r="CM6" s="254" t="str">
        <f>CA16</f>
        <v>-</v>
      </c>
      <c r="CN6" s="275">
        <f t="shared" ref="CN6:CN9" si="12">BQ8</f>
        <v>0</v>
      </c>
      <c r="CO6" s="276">
        <f>CG24</f>
        <v>0</v>
      </c>
      <c r="CP6" s="277">
        <f>CE24</f>
        <v>0</v>
      </c>
      <c r="CQ6" s="302">
        <f>IFERROR(CH25,0)</f>
        <v>0</v>
      </c>
      <c r="CR6" s="9"/>
      <c r="CS6" s="9"/>
      <c r="CV6" s="9"/>
      <c r="CW6" s="484"/>
      <c r="CX6" s="485"/>
      <c r="CY6" s="487"/>
      <c r="CZ6" s="487"/>
      <c r="DA6" s="485"/>
      <c r="DB6" s="278">
        <f t="shared" ref="DB6:DB18" si="13">DA6*CY6</f>
        <v>0</v>
      </c>
      <c r="DC6" s="9"/>
      <c r="DD6" s="259" t="s">
        <v>307</v>
      </c>
      <c r="DE6" s="9"/>
      <c r="DF6" s="9"/>
      <c r="DI6" s="9"/>
      <c r="DJ6" s="484"/>
      <c r="DK6" s="489"/>
      <c r="DL6" s="9" t="str">
        <f t="shared" si="0"/>
        <v>-</v>
      </c>
      <c r="DM6" s="485"/>
      <c r="DN6" s="485"/>
      <c r="DO6" s="279" t="str">
        <f t="shared" ref="DO6:DO29" si="14">IFERROR(VLOOKUP(DN6,$CW$5:$DA$18,3,FALSE),"")</f>
        <v/>
      </c>
      <c r="DP6" s="485"/>
      <c r="DQ6" s="278" t="str">
        <f t="shared" ref="DQ6:DQ29" si="15">IFERROR(DP6*DO6,"")</f>
        <v/>
      </c>
      <c r="DR6" s="9"/>
      <c r="DS6" s="303">
        <f>AS2</f>
        <v>0</v>
      </c>
      <c r="DT6" s="9"/>
      <c r="DU6" s="9"/>
      <c r="DX6" s="9"/>
      <c r="DY6" s="304" t="s">
        <v>248</v>
      </c>
      <c r="DZ6" s="305" t="str">
        <f>ROUND(MAX(AZ56,AX56,AV56,AS56,AR56),0)&amp; " pounds at $"&amp;ROUND(AC15,0)&amp;" per CWT"</f>
        <v>0 pounds at $0 per CWT</v>
      </c>
      <c r="EA6" s="306"/>
      <c r="EB6" s="307" t="str">
        <f>IFERROR(AB15*AC15/100,"-")</f>
        <v>-</v>
      </c>
      <c r="EC6" s="9"/>
      <c r="ED6" s="9"/>
      <c r="EE6" s="9"/>
      <c r="EF6" s="9"/>
      <c r="EJ6" s="9"/>
      <c r="EK6" s="281" t="s">
        <v>270</v>
      </c>
      <c r="EL6" s="282" t="str">
        <f>IFERROR(EB6-EB12-EB14,"-")</f>
        <v>-</v>
      </c>
      <c r="EM6" s="308"/>
      <c r="EN6" s="309"/>
      <c r="EO6" s="9"/>
      <c r="EP6" s="9"/>
    </row>
    <row r="7" spans="1:146" ht="18.95" customHeight="1" x14ac:dyDescent="0.25">
      <c r="A7" s="614" t="s">
        <v>340</v>
      </c>
      <c r="B7" s="615"/>
      <c r="C7" s="615"/>
      <c r="D7" s="615"/>
      <c r="E7" s="615"/>
      <c r="F7" s="616"/>
      <c r="G7" s="283"/>
      <c r="H7" s="284"/>
      <c r="I7" s="285" t="s">
        <v>2</v>
      </c>
      <c r="J7" s="456"/>
      <c r="K7" s="286" t="s">
        <v>337</v>
      </c>
      <c r="L7" s="284"/>
      <c r="M7" s="283"/>
      <c r="N7" s="283"/>
      <c r="O7" s="259">
        <f>SUM(R5:R7)</f>
        <v>0</v>
      </c>
      <c r="P7" s="260">
        <v>3</v>
      </c>
      <c r="Q7" s="461"/>
      <c r="R7" s="287">
        <f t="shared" si="1"/>
        <v>0</v>
      </c>
      <c r="S7" s="467"/>
      <c r="T7" s="464"/>
      <c r="U7" s="465"/>
      <c r="V7" s="468"/>
      <c r="W7" s="467"/>
      <c r="X7" s="262">
        <f t="shared" si="2"/>
        <v>0</v>
      </c>
      <c r="Y7" s="263" t="str">
        <f t="shared" si="3"/>
        <v>-</v>
      </c>
      <c r="Z7" s="264">
        <v>3</v>
      </c>
      <c r="AA7" s="474"/>
      <c r="AB7" s="474"/>
      <c r="AC7" s="467"/>
      <c r="AD7" s="262">
        <f t="shared" si="4"/>
        <v>0</v>
      </c>
      <c r="AE7" s="265" t="str">
        <f t="shared" si="5"/>
        <v>-</v>
      </c>
      <c r="AF7" s="266" t="str">
        <f t="shared" si="6"/>
        <v>-</v>
      </c>
      <c r="AG7" s="9"/>
      <c r="AH7" s="259" t="s">
        <v>135</v>
      </c>
      <c r="AI7" s="9"/>
      <c r="AJ7" s="9"/>
      <c r="AK7" s="9"/>
      <c r="AL7" s="283"/>
      <c r="AM7" s="259">
        <v>2</v>
      </c>
      <c r="AN7" s="310" t="str">
        <f>IFERROR(IF(SUM($T$5:$T$14)&lt;1,"-",IF(AO7=AO6,AN6+1,VLOOKUP(AO7,$P$5:$U$14,5,FALSE))),"-")</f>
        <v>-</v>
      </c>
      <c r="AO7" s="9" t="str">
        <f t="shared" ref="AO7:AO55" si="16">IF(AM7&lt;=$O$5,$P$5,IF(AM7&lt;=$O$6,$P$6,IF(AM7&lt;=$O$7,$P$7,IF(AM7&lt;=$O$8,$P$8,IF(AM7&lt;=$O$9,$P$9,IF(AM7&lt;=$O$10,$P$10,IF(AM7&lt;=$O$11,$P$11,IF(AM7&lt;=$O$12,$P$12,IF(AM7&lt;=$O15,$P15,IF(AM7&lt;=$O$14,$P$14,"-"))))))))))</f>
        <v>-</v>
      </c>
      <c r="AP7" s="289" t="str">
        <f t="shared" ref="AP7:AP55" si="17">IFERROR(VLOOKUP(AO7,$P$5:$Q$14,2,FALSE),"-")</f>
        <v>-</v>
      </c>
      <c r="AQ7" s="9" t="str">
        <f t="shared" ref="AQ7:AQ55" si="18">IFERROR(VLOOKUP(AO7,$P$5:$S$14,4,FALSE),"-")</f>
        <v>-</v>
      </c>
      <c r="AR7" s="453"/>
      <c r="AS7" s="453"/>
      <c r="AT7" s="229" t="str">
        <f t="shared" ref="AT7:AT55" si="19">IFERROR($AS$2-AP7,"-")</f>
        <v>-</v>
      </c>
      <c r="AU7" s="290" t="str">
        <f t="shared" ref="AU7:AU55" si="20">IFERROR(IF((AS7-AR7)/AT7&lt;-3,"CHECK INPUTS",(AS7-AR7)/AT7),"N/A")</f>
        <v>N/A</v>
      </c>
      <c r="AV7" s="453"/>
      <c r="AW7" s="290" t="str">
        <f t="shared" si="7"/>
        <v>N/A</v>
      </c>
      <c r="AX7" s="453"/>
      <c r="AY7" s="290" t="str">
        <f t="shared" ref="AY7:AY55" si="21">IFERROR(IF((AX7-AV7)/AY$4&lt;-3,"CHECK INPUTS",IF((AX7-AV7)/AY$4&gt;0,(AX7-AV7)/AY$4,"-")),"N/A")</f>
        <v>N/A</v>
      </c>
      <c r="AZ7" s="453"/>
      <c r="BA7" s="291" t="str">
        <f t="shared" ref="BA7:BA55" si="22">IFERROR(IF((AZ7-AX7)/BA$4&lt;-3,"CHECK INPUTS",IF((AZ7-AX7)/BA$4&gt;0,(AZ7-AX7)/BA$4,"-")),"N/A")</f>
        <v>N/A</v>
      </c>
      <c r="BB7" s="292" t="str">
        <f t="shared" ref="BB7:BB55" si="23">IF(ISERROR(MAX(AZ7,AX7,AV7,AS7,AR7)-AR7),"-",IF(MAX(AZ7,AX7,AV7,AS7,AR7)-AR7=0,"-",MAX(AZ7,AX7,AV7,AS7,AR7)-AR7))</f>
        <v>-</v>
      </c>
      <c r="BC7" s="512" t="str">
        <f t="shared" ref="BC7:BC55" si="24">IFERROR(MAX($AR$2,$AS$2,$AV$2,$AX$2,$AZ$2)-AP7,"-")</f>
        <v>-</v>
      </c>
      <c r="BD7" s="293" t="str">
        <f t="shared" ref="BD7:BD55" si="25">IFERROR(IF((MAX(AZ7,AX7,AV7,AS7,AR7)-AR7)/BC7&gt;0,(MAX(AZ7,AX7,AV7,AS7,AR7)-AR7)/BC7,"-"),"-")</f>
        <v>-</v>
      </c>
      <c r="BE7" s="293" t="str">
        <f t="shared" ref="BE7:BE55" si="26">IF(SUMIF($DJ$5:$DJ$30,AN7,$DQ$5:$DQ$30)&gt;0,SUMIF($DJ$5:$DJ$30,AN7,$DQ$5:$DQ$30),"-")</f>
        <v>-</v>
      </c>
      <c r="BF7" s="294" t="str">
        <f t="shared" ref="BF7:BF55" si="27">IFERROR(IF(ISBLANK(AR7),"-",IF(OR(AR7=$AR$57,AS7=$AR$57,AV7=$AR$57,AX7=$AR$57,AZ7=$AR$57),-VLOOKUP(AO7,$P$5:$Y$14,10,FALSE)-BC7*$CO$19,IF(ISBLANK(AR7),0,MAX(AZ7,AX7,AV7,AS7,AR7)*$AC$15/100-VLOOKUP(AO7,$P$5:$Y$14,10,FALSE))-BC7*$CO$19)),"-")</f>
        <v>-</v>
      </c>
      <c r="BG7" s="9"/>
      <c r="BH7" s="9"/>
      <c r="BI7" s="9"/>
      <c r="BJ7" s="9"/>
      <c r="BM7" s="9"/>
      <c r="BN7" s="476" t="s">
        <v>293</v>
      </c>
      <c r="BO7" s="477"/>
      <c r="BP7" s="477"/>
      <c r="BQ7" s="311">
        <f>IF($BP7-$BO7&gt;0,$BP7-$BO7,0)</f>
        <v>0</v>
      </c>
      <c r="BR7" s="312">
        <f>IF(ISBLANK(BO7),0,IF(AND(Feed!D$3&gt;$BP7,$BP7&gt;Feed!C$3),$BQ7,MAX(MIN($BP7,Feed!D$3)-$BO7,0)))</f>
        <v>0</v>
      </c>
      <c r="BS7" s="312">
        <f>IF(ISBLANK(BO7),0,IF(AND(Feed!E$3&gt;$BP7,$BP7&gt;Feed!D$3),$BQ7,MAX(MIN($BP7,Feed!E$3)-$BO7-BR7,0)))</f>
        <v>0</v>
      </c>
      <c r="BT7" s="312">
        <f>IF(AND(Feed!F$3&gt;$BP7,$BP7&gt;Feed!E$3),$BQ7,MAX(MIN($BP7,Feed!F$3)-$BO7-BS7-BR7,0))</f>
        <v>0</v>
      </c>
      <c r="BU7" s="312">
        <f>IF(AND(Feed!G$3&gt;$BP7,$BP7&gt;Feed!F$3),$BQ7,MAX(MIN($BP7,Feed!G$3)-$BO7-BT7-BT7-BS7-BR7,0))</f>
        <v>0</v>
      </c>
      <c r="BV7" s="313">
        <f>CH14</f>
        <v>0</v>
      </c>
      <c r="BW7" s="507">
        <f>CH12</f>
        <v>78.359787947924048</v>
      </c>
      <c r="BX7" s="313">
        <f>IF($BV7=0,0,$BV7-$BW7)</f>
        <v>0</v>
      </c>
      <c r="BY7" s="315" t="str">
        <f>CF12</f>
        <v>-</v>
      </c>
      <c r="BZ7" s="9"/>
      <c r="CA7" s="476"/>
      <c r="CB7" s="515">
        <f>IFERROR(VLOOKUP(CA7,Feed!$B$4:$H$19,2,FALSE)*($BR$7/$BQ$7)+VLOOKUP(CA7,Feed!$B$4:$H$19,3,FALSE)*($BS$7/$BQ$7)+VLOOKUP(CA7,Feed!$B$4:$H$19,4,FALSE)*($BT$7/$BQ$7)+VLOOKUP(CA7,Feed!$B$4:$H$19,5,FALSE)*($BU$7/$BQ$7),0)</f>
        <v>0</v>
      </c>
      <c r="CC7" s="299" t="str">
        <f t="shared" si="8"/>
        <v>-</v>
      </c>
      <c r="CD7" s="299" t="str">
        <f t="shared" si="9"/>
        <v>-</v>
      </c>
      <c r="CE7" s="482"/>
      <c r="CF7" s="299" t="str">
        <f t="shared" ref="CF7:CF12" si="28">IFERROR(CE7/$CE$13,"-")</f>
        <v>-</v>
      </c>
      <c r="CG7" s="300">
        <f t="shared" si="10"/>
        <v>0</v>
      </c>
      <c r="CH7" s="301" t="str">
        <f t="shared" si="11"/>
        <v>-</v>
      </c>
      <c r="CI7" s="9"/>
      <c r="CL7" s="9"/>
      <c r="CM7" s="254" t="str">
        <f>CA27</f>
        <v>-</v>
      </c>
      <c r="CN7" s="275">
        <f t="shared" si="12"/>
        <v>0</v>
      </c>
      <c r="CO7" s="276">
        <f>CG35</f>
        <v>0</v>
      </c>
      <c r="CP7" s="277">
        <f>CE35</f>
        <v>0</v>
      </c>
      <c r="CQ7" s="302">
        <f>IFERROR(CH36,0)</f>
        <v>0</v>
      </c>
      <c r="CR7" s="9"/>
      <c r="CS7" s="9"/>
      <c r="CV7" s="9"/>
      <c r="CW7" s="484"/>
      <c r="CX7" s="485"/>
      <c r="CY7" s="487"/>
      <c r="CZ7" s="487"/>
      <c r="DA7" s="485"/>
      <c r="DB7" s="278">
        <f t="shared" si="13"/>
        <v>0</v>
      </c>
      <c r="DC7" s="9"/>
      <c r="DD7" s="259" t="s">
        <v>308</v>
      </c>
      <c r="DE7" s="9"/>
      <c r="DF7" s="9"/>
      <c r="DI7" s="9"/>
      <c r="DJ7" s="484"/>
      <c r="DK7" s="485"/>
      <c r="DL7" s="9" t="str">
        <f t="shared" si="0"/>
        <v>-</v>
      </c>
      <c r="DM7" s="485"/>
      <c r="DN7" s="485"/>
      <c r="DO7" s="279" t="str">
        <f t="shared" si="14"/>
        <v/>
      </c>
      <c r="DP7" s="485"/>
      <c r="DQ7" s="278" t="str">
        <f t="shared" si="15"/>
        <v/>
      </c>
      <c r="DR7" s="9"/>
      <c r="DS7" s="303">
        <f>AV2</f>
        <v>0</v>
      </c>
      <c r="DT7" s="9"/>
      <c r="DU7" s="9"/>
      <c r="DX7" s="9"/>
      <c r="DY7" s="304" t="s">
        <v>245</v>
      </c>
      <c r="DZ7" s="305"/>
      <c r="EA7" s="306"/>
      <c r="EB7" s="307" t="str">
        <f>IFERROR((J5/100*AVERAGE(V15,AB15)-EB6)/R15*SUM(AS58:AZ58),"-")</f>
        <v>-</v>
      </c>
      <c r="EC7" s="9"/>
      <c r="ED7" s="9"/>
      <c r="EE7" s="9"/>
      <c r="EF7" s="9"/>
      <c r="EJ7" s="9"/>
      <c r="EK7" s="281" t="s">
        <v>271</v>
      </c>
      <c r="EL7" s="282">
        <f>IFERROR(EL6/MAX(AZ56,AX56,AV56,AS56,AR56),)</f>
        <v>0</v>
      </c>
      <c r="EM7" s="308"/>
      <c r="EN7" s="309"/>
      <c r="EO7" s="9"/>
      <c r="EP7" s="9"/>
    </row>
    <row r="8" spans="1:146" ht="18.75" x14ac:dyDescent="0.25">
      <c r="A8" s="614" t="s">
        <v>273</v>
      </c>
      <c r="B8" s="615"/>
      <c r="C8" s="615"/>
      <c r="D8" s="615"/>
      <c r="E8" s="615"/>
      <c r="F8" s="616"/>
      <c r="G8" s="283"/>
      <c r="H8" s="284"/>
      <c r="I8" s="285" t="s">
        <v>9</v>
      </c>
      <c r="J8" s="457"/>
      <c r="K8" s="286" t="s">
        <v>336</v>
      </c>
      <c r="L8" s="284"/>
      <c r="M8" s="283"/>
      <c r="N8" s="283"/>
      <c r="O8" s="259">
        <f>SUM(R5:R8)</f>
        <v>0</v>
      </c>
      <c r="P8" s="260">
        <v>4</v>
      </c>
      <c r="Q8" s="461"/>
      <c r="R8" s="287">
        <f t="shared" si="1"/>
        <v>0</v>
      </c>
      <c r="S8" s="467"/>
      <c r="T8" s="464"/>
      <c r="U8" s="465"/>
      <c r="V8" s="468"/>
      <c r="W8" s="467"/>
      <c r="X8" s="262">
        <f t="shared" si="2"/>
        <v>0</v>
      </c>
      <c r="Y8" s="263" t="str">
        <f t="shared" si="3"/>
        <v>-</v>
      </c>
      <c r="Z8" s="264">
        <v>4</v>
      </c>
      <c r="AA8" s="474"/>
      <c r="AB8" s="474"/>
      <c r="AC8" s="467"/>
      <c r="AD8" s="262">
        <f t="shared" si="4"/>
        <v>0</v>
      </c>
      <c r="AE8" s="265" t="str">
        <f t="shared" si="5"/>
        <v>-</v>
      </c>
      <c r="AF8" s="266" t="str">
        <f t="shared" si="6"/>
        <v>-</v>
      </c>
      <c r="AG8" s="9"/>
      <c r="AH8" s="259" t="s">
        <v>366</v>
      </c>
      <c r="AI8" s="9"/>
      <c r="AJ8" s="9"/>
      <c r="AK8" s="9"/>
      <c r="AL8" s="283"/>
      <c r="AM8" s="259">
        <v>3</v>
      </c>
      <c r="AN8" s="310" t="str">
        <f t="shared" ref="AN8:AN55" si="29">IFERROR(IF(SUM($T$5:$T$14)&lt;1,"-",IF(AO8=AO7,AN7+1,VLOOKUP(AO8,$P$5:$U$14,5,FALSE))),"-")</f>
        <v>-</v>
      </c>
      <c r="AO8" s="9" t="str">
        <f t="shared" si="16"/>
        <v>-</v>
      </c>
      <c r="AP8" s="289" t="str">
        <f t="shared" si="17"/>
        <v>-</v>
      </c>
      <c r="AQ8" s="9" t="str">
        <f t="shared" si="18"/>
        <v>-</v>
      </c>
      <c r="AR8" s="453"/>
      <c r="AS8" s="453"/>
      <c r="AT8" s="229" t="str">
        <f t="shared" si="19"/>
        <v>-</v>
      </c>
      <c r="AU8" s="290" t="str">
        <f t="shared" si="20"/>
        <v>N/A</v>
      </c>
      <c r="AV8" s="453"/>
      <c r="AW8" s="290" t="str">
        <f t="shared" si="7"/>
        <v>N/A</v>
      </c>
      <c r="AX8" s="453"/>
      <c r="AY8" s="290" t="str">
        <f t="shared" si="21"/>
        <v>N/A</v>
      </c>
      <c r="AZ8" s="453"/>
      <c r="BA8" s="291" t="str">
        <f t="shared" si="22"/>
        <v>N/A</v>
      </c>
      <c r="BB8" s="292" t="str">
        <f t="shared" si="23"/>
        <v>-</v>
      </c>
      <c r="BC8" s="512" t="str">
        <f t="shared" si="24"/>
        <v>-</v>
      </c>
      <c r="BD8" s="293" t="str">
        <f t="shared" si="25"/>
        <v>-</v>
      </c>
      <c r="BE8" s="293" t="str">
        <f t="shared" si="26"/>
        <v>-</v>
      </c>
      <c r="BF8" s="294" t="str">
        <f t="shared" si="27"/>
        <v>-</v>
      </c>
      <c r="BG8" s="9"/>
      <c r="BH8" s="9"/>
      <c r="BI8" s="9"/>
      <c r="BJ8" s="9"/>
      <c r="BM8" s="9"/>
      <c r="BN8" s="476" t="s">
        <v>293</v>
      </c>
      <c r="BO8" s="477"/>
      <c r="BP8" s="477"/>
      <c r="BQ8" s="311">
        <f>IF($BP8-$BO8&gt;0,$BP8-$BO8,0)</f>
        <v>0</v>
      </c>
      <c r="BR8" s="312">
        <f>IF(ISBLANK(BO8),0,IF(AND(Feed!D$3&gt;$BP8,$BP8&gt;Feed!C$3),$BQ8,MAX(MIN($BP8,Feed!D$3)-$BO8,0)))</f>
        <v>0</v>
      </c>
      <c r="BS8" s="312">
        <f>IF(ISBLANK(BO8),0,IF(AND(Feed!E$3&gt;$BP8,$BP8&gt;Feed!D$3),$BQ8,MAX(MIN($BP8,Feed!E$3)-$BO8-BR8,0)))</f>
        <v>0</v>
      </c>
      <c r="BT8" s="312">
        <f>IF(AND(Feed!F$3&gt;$BP8,$BP8&gt;Feed!E$3),$BQ8,MAX(MIN($BP8,Feed!F$3)-$BO8-BS8-BR8,0))</f>
        <v>0</v>
      </c>
      <c r="BU8" s="312">
        <f>IF(AND(Feed!G$3&gt;$BP8,$BP8&gt;Feed!F$3),$BQ8,MAX(MIN($BP8,Feed!G$3)-$BO8-BT8-BS8-BR8,0))</f>
        <v>0</v>
      </c>
      <c r="BV8" s="313">
        <f>CH25</f>
        <v>0</v>
      </c>
      <c r="BW8" s="507">
        <f>CH23</f>
        <v>78.359787947924048</v>
      </c>
      <c r="BX8" s="313">
        <f>IF($BV8=0,0,$BV8-$BW8)</f>
        <v>0</v>
      </c>
      <c r="BY8" s="315" t="str">
        <f>CF23</f>
        <v>-</v>
      </c>
      <c r="BZ8" s="9"/>
      <c r="CA8" s="476"/>
      <c r="CB8" s="515">
        <f>IFERROR(VLOOKUP(CA8,Feed!$B$4:$H$19,2,FALSE)*($BR$7/$BQ$7)+VLOOKUP(CA8,Feed!$B$4:$H$19,3,FALSE)*($BS$7/$BQ$7)+VLOOKUP(CA8,Feed!$B$4:$H$19,4,FALSE)*($BT$7/$BQ$7)+VLOOKUP(CA8,Feed!$B$4:$H$19,5,FALSE)*($BU$7/$BQ$7),0)</f>
        <v>0</v>
      </c>
      <c r="CC8" s="299" t="str">
        <f t="shared" si="8"/>
        <v>-</v>
      </c>
      <c r="CD8" s="299" t="str">
        <f t="shared" si="9"/>
        <v>-</v>
      </c>
      <c r="CE8" s="482"/>
      <c r="CF8" s="299" t="str">
        <f t="shared" si="28"/>
        <v>-</v>
      </c>
      <c r="CG8" s="300">
        <f t="shared" si="10"/>
        <v>0</v>
      </c>
      <c r="CH8" s="301" t="str">
        <f t="shared" si="11"/>
        <v>-</v>
      </c>
      <c r="CI8" s="9"/>
      <c r="CL8" s="9"/>
      <c r="CM8" s="254" t="str">
        <f>CA38</f>
        <v>-</v>
      </c>
      <c r="CN8" s="275">
        <f t="shared" si="12"/>
        <v>0</v>
      </c>
      <c r="CO8" s="276">
        <f>CG46</f>
        <v>0</v>
      </c>
      <c r="CP8" s="277">
        <f>CE46</f>
        <v>0</v>
      </c>
      <c r="CQ8" s="302">
        <f>IFERROR(CH47,0)</f>
        <v>0</v>
      </c>
      <c r="CR8" s="9"/>
      <c r="CS8" s="9"/>
      <c r="CV8" s="9"/>
      <c r="CW8" s="484"/>
      <c r="CX8" s="485"/>
      <c r="CY8" s="487"/>
      <c r="CZ8" s="487"/>
      <c r="DA8" s="485"/>
      <c r="DB8" s="278">
        <f t="shared" si="13"/>
        <v>0</v>
      </c>
      <c r="DC8" s="9"/>
      <c r="DD8" s="9"/>
      <c r="DE8" s="9"/>
      <c r="DF8" s="9"/>
      <c r="DI8" s="9"/>
      <c r="DJ8" s="484"/>
      <c r="DK8" s="485"/>
      <c r="DL8" s="9" t="str">
        <f t="shared" si="0"/>
        <v>-</v>
      </c>
      <c r="DM8" s="485"/>
      <c r="DN8" s="485"/>
      <c r="DO8" s="279" t="str">
        <f t="shared" si="14"/>
        <v/>
      </c>
      <c r="DP8" s="485"/>
      <c r="DQ8" s="278" t="str">
        <f t="shared" si="15"/>
        <v/>
      </c>
      <c r="DR8" s="9"/>
      <c r="DS8" s="303">
        <f>AX2</f>
        <v>0</v>
      </c>
      <c r="DT8" s="9"/>
      <c r="DU8" s="9"/>
      <c r="DX8" s="9"/>
      <c r="DY8" s="304" t="s">
        <v>244</v>
      </c>
      <c r="DZ8" s="306"/>
      <c r="EA8" s="306"/>
      <c r="EB8" s="307" t="str">
        <f>IFERROR(-(SUM(AS57:AZ57)*EB6)/R15,"-")</f>
        <v>-</v>
      </c>
      <c r="EC8" s="9"/>
      <c r="ED8" s="9"/>
      <c r="EE8" s="9"/>
      <c r="EF8" s="9"/>
      <c r="EJ8" s="9"/>
      <c r="EK8" s="281" t="s">
        <v>266</v>
      </c>
      <c r="EL8" s="497">
        <f>IFERROR((EB24-EB7-EB8-EB9)/MAX(AZ56,AX56,AV56,AS56,AR56),)</f>
        <v>0</v>
      </c>
      <c r="EM8" s="9"/>
      <c r="EN8" s="9"/>
      <c r="EO8" s="9"/>
      <c r="EP8" s="9"/>
    </row>
    <row r="9" spans="1:146" ht="18.95" customHeight="1" x14ac:dyDescent="0.25">
      <c r="A9" s="614" t="s">
        <v>281</v>
      </c>
      <c r="B9" s="615"/>
      <c r="C9" s="615"/>
      <c r="D9" s="615"/>
      <c r="E9" s="615"/>
      <c r="F9" s="616"/>
      <c r="G9" s="283"/>
      <c r="H9" s="284"/>
      <c r="I9" s="318" t="s">
        <v>39</v>
      </c>
      <c r="J9" s="456"/>
      <c r="K9" s="319" t="s">
        <v>55</v>
      </c>
      <c r="L9" s="284"/>
      <c r="M9" s="283"/>
      <c r="N9" s="283"/>
      <c r="O9" s="259">
        <f>SUM(R5:R9)</f>
        <v>0</v>
      </c>
      <c r="P9" s="260">
        <v>5</v>
      </c>
      <c r="Q9" s="461"/>
      <c r="R9" s="287">
        <f t="shared" si="1"/>
        <v>0</v>
      </c>
      <c r="S9" s="467"/>
      <c r="T9" s="464"/>
      <c r="U9" s="465"/>
      <c r="V9" s="468"/>
      <c r="W9" s="467"/>
      <c r="X9" s="262">
        <f t="shared" si="2"/>
        <v>0</v>
      </c>
      <c r="Y9" s="263" t="str">
        <f t="shared" si="3"/>
        <v>-</v>
      </c>
      <c r="Z9" s="264">
        <v>5</v>
      </c>
      <c r="AA9" s="474"/>
      <c r="AB9" s="474"/>
      <c r="AC9" s="467"/>
      <c r="AD9" s="262">
        <f t="shared" si="4"/>
        <v>0</v>
      </c>
      <c r="AE9" s="265" t="str">
        <f t="shared" si="5"/>
        <v>-</v>
      </c>
      <c r="AF9" s="266" t="str">
        <f t="shared" si="6"/>
        <v>-</v>
      </c>
      <c r="AG9" s="9"/>
      <c r="AH9" s="259" t="s">
        <v>367</v>
      </c>
      <c r="AI9" s="9"/>
      <c r="AJ9" s="9"/>
      <c r="AK9" s="9"/>
      <c r="AL9" s="283"/>
      <c r="AM9" s="259">
        <v>4</v>
      </c>
      <c r="AN9" s="310" t="str">
        <f t="shared" si="29"/>
        <v>-</v>
      </c>
      <c r="AO9" s="9" t="str">
        <f t="shared" si="16"/>
        <v>-</v>
      </c>
      <c r="AP9" s="289" t="str">
        <f t="shared" si="17"/>
        <v>-</v>
      </c>
      <c r="AQ9" s="9" t="str">
        <f t="shared" si="18"/>
        <v>-</v>
      </c>
      <c r="AR9" s="453"/>
      <c r="AS9" s="453"/>
      <c r="AT9" s="229" t="str">
        <f t="shared" si="19"/>
        <v>-</v>
      </c>
      <c r="AU9" s="290" t="str">
        <f t="shared" si="20"/>
        <v>N/A</v>
      </c>
      <c r="AV9" s="453"/>
      <c r="AW9" s="290" t="str">
        <f t="shared" si="7"/>
        <v>N/A</v>
      </c>
      <c r="AX9" s="453"/>
      <c r="AY9" s="290" t="str">
        <f t="shared" si="21"/>
        <v>N/A</v>
      </c>
      <c r="AZ9" s="453"/>
      <c r="BA9" s="291" t="str">
        <f t="shared" si="22"/>
        <v>N/A</v>
      </c>
      <c r="BB9" s="292" t="str">
        <f t="shared" si="23"/>
        <v>-</v>
      </c>
      <c r="BC9" s="512" t="str">
        <f t="shared" si="24"/>
        <v>-</v>
      </c>
      <c r="BD9" s="293" t="str">
        <f t="shared" si="25"/>
        <v>-</v>
      </c>
      <c r="BE9" s="293" t="str">
        <f t="shared" si="26"/>
        <v>-</v>
      </c>
      <c r="BF9" s="294" t="str">
        <f t="shared" si="27"/>
        <v>-</v>
      </c>
      <c r="BG9" s="9"/>
      <c r="BH9" s="9"/>
      <c r="BI9" s="9"/>
      <c r="BJ9" s="9"/>
      <c r="BM9" s="9"/>
      <c r="BN9" s="476" t="s">
        <v>293</v>
      </c>
      <c r="BO9" s="477"/>
      <c r="BP9" s="477"/>
      <c r="BQ9" s="311">
        <f>IF($BP9-$BO9&gt;0,$BP9-$BO9,0)</f>
        <v>0</v>
      </c>
      <c r="BR9" s="312">
        <f>IF(ISBLANK(BO9),0,IF(AND(Feed!D$3&gt;$BP9,$BP9&gt;Feed!C$3),$BQ9,MAX(MIN($BP9,Feed!D$3)-$BO9,0)))</f>
        <v>0</v>
      </c>
      <c r="BS9" s="312">
        <f>IF(ISBLANK(BO9),0,IF(AND(Feed!E$3&gt;$BP9,$BP9&gt;Feed!D$3),$BQ9,MAX(MIN($BP9,Feed!E$3)-$BO9-BR9,0)))</f>
        <v>0</v>
      </c>
      <c r="BT9" s="312">
        <f>IF(AND(Feed!F$3&gt;$BP9,$BP9&gt;Feed!E$3),$BQ9,MAX(MIN($BP9,Feed!F$3)-$BO9-BS9-BR9,0))</f>
        <v>0</v>
      </c>
      <c r="BU9" s="312">
        <f>IF(AND(Feed!G$3&gt;$BP9,$BP9&gt;Feed!F$3),$BQ9,MAX(MIN($BP9,Feed!G$3)-$BO9-BT9-BT9-BS9-BR9,0))</f>
        <v>0</v>
      </c>
      <c r="BV9" s="313">
        <f>CH36</f>
        <v>0</v>
      </c>
      <c r="BW9" s="507">
        <f>CH34</f>
        <v>78.359787947924048</v>
      </c>
      <c r="BX9" s="313">
        <f>IF($BV9=0,0,$BV9-$BW9)</f>
        <v>0</v>
      </c>
      <c r="BY9" s="315" t="str">
        <f>CF34</f>
        <v>-</v>
      </c>
      <c r="BZ9" s="9"/>
      <c r="CA9" s="476"/>
      <c r="CB9" s="515">
        <f>IFERROR(VLOOKUP(CA9,Feed!$B$4:$H$19,2,FALSE)*($BR$7/$BQ$7)+VLOOKUP(CA9,Feed!$B$4:$H$19,3,FALSE)*($BS$7/$BQ$7)+VLOOKUP(CA9,Feed!$B$4:$H$19,4,FALSE)*($BT$7/$BQ$7)+VLOOKUP(CA9,Feed!$B$4:$H$19,5,FALSE)*($BU$7/$BQ$7),0)</f>
        <v>0</v>
      </c>
      <c r="CC9" s="299" t="str">
        <f t="shared" si="8"/>
        <v>-</v>
      </c>
      <c r="CD9" s="299" t="str">
        <f t="shared" si="9"/>
        <v>-</v>
      </c>
      <c r="CE9" s="482"/>
      <c r="CF9" s="299" t="str">
        <f t="shared" si="28"/>
        <v>-</v>
      </c>
      <c r="CG9" s="300">
        <f t="shared" si="10"/>
        <v>0</v>
      </c>
      <c r="CH9" s="301" t="str">
        <f t="shared" si="11"/>
        <v>-</v>
      </c>
      <c r="CI9" s="9"/>
      <c r="CL9" s="9"/>
      <c r="CM9" s="254" t="str">
        <f>CA49</f>
        <v>-</v>
      </c>
      <c r="CN9" s="275">
        <f t="shared" si="12"/>
        <v>0</v>
      </c>
      <c r="CO9" s="276">
        <f>CG57</f>
        <v>0</v>
      </c>
      <c r="CP9" s="277">
        <f>CE57</f>
        <v>0</v>
      </c>
      <c r="CQ9" s="302">
        <f>IFERROR(CH58,0)</f>
        <v>0</v>
      </c>
      <c r="CR9" s="320"/>
      <c r="CS9" s="9"/>
      <c r="CV9" s="9"/>
      <c r="CW9" s="484"/>
      <c r="CX9" s="485"/>
      <c r="CY9" s="487"/>
      <c r="CZ9" s="487"/>
      <c r="DA9" s="485"/>
      <c r="DB9" s="278">
        <f t="shared" si="13"/>
        <v>0</v>
      </c>
      <c r="DC9" s="9"/>
      <c r="DD9" s="9"/>
      <c r="DE9" s="9"/>
      <c r="DF9" s="9"/>
      <c r="DI9" s="9"/>
      <c r="DJ9" s="484"/>
      <c r="DK9" s="485"/>
      <c r="DL9" s="9" t="str">
        <f t="shared" si="0"/>
        <v>-</v>
      </c>
      <c r="DM9" s="485"/>
      <c r="DN9" s="485"/>
      <c r="DO9" s="279" t="str">
        <f t="shared" si="14"/>
        <v/>
      </c>
      <c r="DP9" s="485"/>
      <c r="DQ9" s="278" t="str">
        <f t="shared" si="15"/>
        <v/>
      </c>
      <c r="DR9" s="9"/>
      <c r="DS9" s="303">
        <f>AZ2</f>
        <v>0</v>
      </c>
      <c r="DT9" s="9"/>
      <c r="DU9" s="9"/>
      <c r="DX9" s="9"/>
      <c r="DY9" s="304" t="s">
        <v>242</v>
      </c>
      <c r="DZ9" s="306" t="str">
        <f>J12*100&amp;"% of total sales"</f>
        <v>0% of total sales</v>
      </c>
      <c r="EA9" s="306"/>
      <c r="EB9" s="307" t="str">
        <f>IFERROR(-J12*(EB6-EB7-EB8),"-")</f>
        <v>-</v>
      </c>
      <c r="EC9" s="9"/>
      <c r="ED9" s="9"/>
      <c r="EE9" s="9"/>
      <c r="EF9" s="9"/>
      <c r="EJ9" s="9"/>
      <c r="EK9" s="281" t="s">
        <v>267</v>
      </c>
      <c r="EL9" s="498" cm="1">
        <f t="array" ref="EL9">IFERROR(SUM(EB13:EB23,-EB7:EB8)/BB56,)</f>
        <v>0</v>
      </c>
      <c r="EM9" s="9"/>
      <c r="EN9" s="9"/>
      <c r="EO9" s="320"/>
      <c r="EP9" s="9"/>
    </row>
    <row r="10" spans="1:146" ht="18.75" x14ac:dyDescent="0.25">
      <c r="A10" s="614" t="s">
        <v>263</v>
      </c>
      <c r="B10" s="615"/>
      <c r="C10" s="615"/>
      <c r="D10" s="615"/>
      <c r="E10" s="615"/>
      <c r="F10" s="616"/>
      <c r="G10" s="283"/>
      <c r="H10" s="284"/>
      <c r="I10" s="318" t="s">
        <v>276</v>
      </c>
      <c r="J10" s="456"/>
      <c r="K10" s="319" t="s">
        <v>46</v>
      </c>
      <c r="L10" s="284"/>
      <c r="M10" s="283"/>
      <c r="N10" s="283"/>
      <c r="O10" s="259">
        <f>SUM(R5:R10)</f>
        <v>0</v>
      </c>
      <c r="P10" s="260">
        <v>6</v>
      </c>
      <c r="Q10" s="461"/>
      <c r="R10" s="287">
        <f t="shared" si="1"/>
        <v>0</v>
      </c>
      <c r="S10" s="467"/>
      <c r="T10" s="464"/>
      <c r="U10" s="465"/>
      <c r="V10" s="468"/>
      <c r="W10" s="467"/>
      <c r="X10" s="262">
        <f t="shared" si="2"/>
        <v>0</v>
      </c>
      <c r="Y10" s="263" t="str">
        <f t="shared" si="3"/>
        <v>-</v>
      </c>
      <c r="Z10" s="264">
        <v>6</v>
      </c>
      <c r="AA10" s="474"/>
      <c r="AB10" s="474"/>
      <c r="AC10" s="467"/>
      <c r="AD10" s="262">
        <f t="shared" si="4"/>
        <v>0</v>
      </c>
      <c r="AE10" s="265" t="str">
        <f t="shared" si="5"/>
        <v>-</v>
      </c>
      <c r="AF10" s="266" t="str">
        <f t="shared" si="6"/>
        <v>-</v>
      </c>
      <c r="AG10" s="9"/>
      <c r="AH10" s="259" t="s">
        <v>368</v>
      </c>
      <c r="AI10" s="9"/>
      <c r="AJ10" s="9"/>
      <c r="AK10" s="9"/>
      <c r="AL10" s="283"/>
      <c r="AM10" s="259">
        <v>5</v>
      </c>
      <c r="AN10" s="310" t="str">
        <f t="shared" si="29"/>
        <v>-</v>
      </c>
      <c r="AO10" s="9" t="str">
        <f t="shared" si="16"/>
        <v>-</v>
      </c>
      <c r="AP10" s="289" t="str">
        <f t="shared" si="17"/>
        <v>-</v>
      </c>
      <c r="AQ10" s="9" t="str">
        <f t="shared" si="18"/>
        <v>-</v>
      </c>
      <c r="AR10" s="453"/>
      <c r="AS10" s="453"/>
      <c r="AT10" s="229" t="str">
        <f t="shared" si="19"/>
        <v>-</v>
      </c>
      <c r="AU10" s="290" t="str">
        <f t="shared" si="20"/>
        <v>N/A</v>
      </c>
      <c r="AV10" s="453"/>
      <c r="AW10" s="290" t="str">
        <f t="shared" si="7"/>
        <v>N/A</v>
      </c>
      <c r="AX10" s="453"/>
      <c r="AY10" s="290" t="str">
        <f t="shared" si="21"/>
        <v>N/A</v>
      </c>
      <c r="AZ10" s="453"/>
      <c r="BA10" s="291" t="str">
        <f t="shared" si="22"/>
        <v>N/A</v>
      </c>
      <c r="BB10" s="292" t="str">
        <f t="shared" si="23"/>
        <v>-</v>
      </c>
      <c r="BC10" s="512" t="str">
        <f t="shared" si="24"/>
        <v>-</v>
      </c>
      <c r="BD10" s="293" t="str">
        <f t="shared" si="25"/>
        <v>-</v>
      </c>
      <c r="BE10" s="293" t="str">
        <f t="shared" si="26"/>
        <v>-</v>
      </c>
      <c r="BF10" s="294" t="str">
        <f t="shared" si="27"/>
        <v>-</v>
      </c>
      <c r="BG10" s="9"/>
      <c r="BH10" s="9"/>
      <c r="BI10" s="9"/>
      <c r="BJ10" s="9"/>
      <c r="BM10" s="9"/>
      <c r="BN10" s="476" t="s">
        <v>293</v>
      </c>
      <c r="BO10" s="478"/>
      <c r="BP10" s="478"/>
      <c r="BQ10" s="311">
        <f>IF($BP10-$BO10&gt;0,$BP10-$BO10,0)</f>
        <v>0</v>
      </c>
      <c r="BR10" s="312">
        <f>IF(ISBLANK(BO10),0,IF(AND(Feed!D$3&gt;$BP10,$BP10&gt;Feed!C$3),$BQ10,MAX(MIN($BP10,Feed!D$3)-$BO10,0)))</f>
        <v>0</v>
      </c>
      <c r="BS10" s="312">
        <f>IF(ISBLANK(BO10),0,IF(AND(Feed!E$3&gt;$BP10,$BP10&gt;Feed!D$3),$BQ10,MAX(MIN($BP10,Feed!E$3)-$BO10-BR10,0)))</f>
        <v>0</v>
      </c>
      <c r="BT10" s="312">
        <f>IF(AND(Feed!F$3&gt;$BP10,$BP10&gt;Feed!E$3),$BQ10,MAX(MIN($BP10,Feed!F$3)-$BO10-BS10-BR10,0))</f>
        <v>0</v>
      </c>
      <c r="BU10" s="312">
        <f>IF(AND(Feed!G$3&gt;$BP10,$BP10&gt;Feed!F$3),$BQ10,MAX(MIN($BP10,Feed!G$3)-$BO10-BT10-BS10-BR10,0))</f>
        <v>0</v>
      </c>
      <c r="BV10" s="313">
        <f>CH47</f>
        <v>0</v>
      </c>
      <c r="BW10" s="507">
        <f>CH45</f>
        <v>78.359787947924048</v>
      </c>
      <c r="BX10" s="313">
        <f>IF($BV10=0,0,$BV10-$BW10)</f>
        <v>0</v>
      </c>
      <c r="BY10" s="315" t="str">
        <f>CF45</f>
        <v>-</v>
      </c>
      <c r="BZ10" s="9"/>
      <c r="CA10" s="476"/>
      <c r="CB10" s="515">
        <f>IFERROR(VLOOKUP(CA10,Feed!$B$4:$H$19,2,FALSE)*($BR$7/$BQ$7)+VLOOKUP(CA10,Feed!$B$4:$H$19,3,FALSE)*($BS$7/$BQ$7)+VLOOKUP(CA10,Feed!$B$4:$H$19,4,FALSE)*($BT$7/$BQ$7)+VLOOKUP(CA10,Feed!$B$4:$H$19,5,FALSE)*($BU$7/$BQ$7),0)</f>
        <v>0</v>
      </c>
      <c r="CC10" s="299" t="str">
        <f t="shared" si="8"/>
        <v>-</v>
      </c>
      <c r="CD10" s="299" t="str">
        <f t="shared" si="9"/>
        <v>-</v>
      </c>
      <c r="CE10" s="482"/>
      <c r="CF10" s="299" t="str">
        <f t="shared" si="28"/>
        <v>-</v>
      </c>
      <c r="CG10" s="300">
        <f t="shared" si="10"/>
        <v>0</v>
      </c>
      <c r="CH10" s="301" t="str">
        <f t="shared" si="11"/>
        <v>-</v>
      </c>
      <c r="CI10" s="9"/>
      <c r="CL10" s="9"/>
      <c r="CM10" s="322" t="s">
        <v>4</v>
      </c>
      <c r="CN10" s="323">
        <f>SUM(CN5:CN9)</f>
        <v>0</v>
      </c>
      <c r="CO10" s="324">
        <f>SUM(CO5:CO9)</f>
        <v>0</v>
      </c>
      <c r="CP10" s="9"/>
      <c r="CQ10" s="9"/>
      <c r="CR10" s="9"/>
      <c r="CS10" s="9"/>
      <c r="CV10" s="9"/>
      <c r="CW10" s="484"/>
      <c r="CX10" s="485"/>
      <c r="CY10" s="487"/>
      <c r="CZ10" s="487"/>
      <c r="DA10" s="485"/>
      <c r="DB10" s="278">
        <f t="shared" si="13"/>
        <v>0</v>
      </c>
      <c r="DC10" s="9"/>
      <c r="DD10" s="9"/>
      <c r="DE10" s="9"/>
      <c r="DF10" s="9"/>
      <c r="DI10" s="9"/>
      <c r="DJ10" s="484"/>
      <c r="DK10" s="489"/>
      <c r="DL10" s="9" t="str">
        <f t="shared" si="0"/>
        <v>-</v>
      </c>
      <c r="DM10" s="485"/>
      <c r="DN10" s="485"/>
      <c r="DO10" s="279" t="str">
        <f t="shared" si="14"/>
        <v/>
      </c>
      <c r="DP10" s="485"/>
      <c r="DQ10" s="278" t="str">
        <f t="shared" si="15"/>
        <v/>
      </c>
      <c r="DR10" s="9"/>
      <c r="DS10" s="9"/>
      <c r="DT10" s="9"/>
      <c r="DU10" s="9"/>
      <c r="DX10" s="9"/>
      <c r="DY10" s="325"/>
      <c r="DZ10" s="326"/>
      <c r="EA10" s="326" t="s">
        <v>252</v>
      </c>
      <c r="EB10" s="327">
        <f>SUM(EB6:EB9)</f>
        <v>0</v>
      </c>
      <c r="EC10" s="9"/>
      <c r="ED10" s="9"/>
      <c r="EE10" s="9"/>
      <c r="EF10" s="9"/>
      <c r="EJ10" s="9"/>
      <c r="EK10" s="281" t="s">
        <v>268</v>
      </c>
      <c r="EL10" s="499">
        <f>IFERROR((EB6-EB12)/CO12,)</f>
        <v>0</v>
      </c>
      <c r="EM10" s="9"/>
      <c r="EN10" s="9"/>
      <c r="EO10" s="9"/>
      <c r="EP10" s="9"/>
    </row>
    <row r="11" spans="1:146" ht="18.95" customHeight="1" thickBot="1" x14ac:dyDescent="0.3">
      <c r="A11" s="614" t="s">
        <v>262</v>
      </c>
      <c r="B11" s="615"/>
      <c r="C11" s="615"/>
      <c r="D11" s="615"/>
      <c r="E11" s="615"/>
      <c r="F11" s="616"/>
      <c r="G11" s="283"/>
      <c r="H11" s="284"/>
      <c r="I11" s="318" t="s">
        <v>341</v>
      </c>
      <c r="J11" s="458"/>
      <c r="K11" s="319" t="s">
        <v>342</v>
      </c>
      <c r="L11" s="284"/>
      <c r="M11" s="283"/>
      <c r="N11" s="283"/>
      <c r="O11" s="259">
        <f>SUM(R5:R11)</f>
        <v>0</v>
      </c>
      <c r="P11" s="260">
        <v>7</v>
      </c>
      <c r="Q11" s="461"/>
      <c r="R11" s="287">
        <f t="shared" si="1"/>
        <v>0</v>
      </c>
      <c r="S11" s="467"/>
      <c r="T11" s="464"/>
      <c r="U11" s="465"/>
      <c r="V11" s="468"/>
      <c r="W11" s="467"/>
      <c r="X11" s="262">
        <f t="shared" si="2"/>
        <v>0</v>
      </c>
      <c r="Y11" s="263" t="str">
        <f t="shared" si="3"/>
        <v>-</v>
      </c>
      <c r="Z11" s="264">
        <v>7</v>
      </c>
      <c r="AA11" s="474"/>
      <c r="AB11" s="474"/>
      <c r="AC11" s="467"/>
      <c r="AD11" s="262">
        <f t="shared" si="4"/>
        <v>0</v>
      </c>
      <c r="AE11" s="265" t="str">
        <f t="shared" si="5"/>
        <v>-</v>
      </c>
      <c r="AF11" s="266" t="str">
        <f t="shared" si="6"/>
        <v>-</v>
      </c>
      <c r="AG11" s="9"/>
      <c r="AH11" s="259" t="s">
        <v>369</v>
      </c>
      <c r="AI11" s="9"/>
      <c r="AJ11" s="9"/>
      <c r="AK11" s="9"/>
      <c r="AL11" s="283"/>
      <c r="AM11" s="259">
        <v>6</v>
      </c>
      <c r="AN11" s="310" t="str">
        <f t="shared" si="29"/>
        <v>-</v>
      </c>
      <c r="AO11" s="9" t="str">
        <f t="shared" si="16"/>
        <v>-</v>
      </c>
      <c r="AP11" s="289" t="str">
        <f t="shared" si="17"/>
        <v>-</v>
      </c>
      <c r="AQ11" s="9" t="str">
        <f t="shared" si="18"/>
        <v>-</v>
      </c>
      <c r="AR11" s="453"/>
      <c r="AS11" s="453"/>
      <c r="AT11" s="229" t="str">
        <f t="shared" si="19"/>
        <v>-</v>
      </c>
      <c r="AU11" s="290" t="str">
        <f t="shared" si="20"/>
        <v>N/A</v>
      </c>
      <c r="AV11" s="453"/>
      <c r="AW11" s="290" t="str">
        <f t="shared" si="7"/>
        <v>N/A</v>
      </c>
      <c r="AX11" s="453"/>
      <c r="AY11" s="290" t="str">
        <f t="shared" si="21"/>
        <v>N/A</v>
      </c>
      <c r="AZ11" s="453"/>
      <c r="BA11" s="291" t="str">
        <f t="shared" si="22"/>
        <v>N/A</v>
      </c>
      <c r="BB11" s="292" t="str">
        <f t="shared" si="23"/>
        <v>-</v>
      </c>
      <c r="BC11" s="512" t="str">
        <f t="shared" si="24"/>
        <v>-</v>
      </c>
      <c r="BD11" s="293" t="str">
        <f t="shared" si="25"/>
        <v>-</v>
      </c>
      <c r="BE11" s="293" t="str">
        <f t="shared" si="26"/>
        <v>-</v>
      </c>
      <c r="BF11" s="294" t="str">
        <f t="shared" si="27"/>
        <v>-</v>
      </c>
      <c r="BG11" s="9"/>
      <c r="BH11" s="9"/>
      <c r="BI11" s="9"/>
      <c r="BJ11" s="9"/>
      <c r="BM11" s="9"/>
      <c r="BN11" s="479" t="s">
        <v>293</v>
      </c>
      <c r="BO11" s="480"/>
      <c r="BP11" s="481"/>
      <c r="BQ11" s="329">
        <f>IF($BP11-$BO11&gt;0,$BP11-$BO11,0)</f>
        <v>0</v>
      </c>
      <c r="BR11" s="330">
        <f>IF(ISBLANK(BO11),0,IF(AND(Feed!D$3&gt;$BP11,$BP11&gt;Feed!C$3),$BQ11,MAX(MIN($BP11,Feed!D$3)-$BO11,0)))</f>
        <v>0</v>
      </c>
      <c r="BS11" s="330">
        <f>IF(ISBLANK(BO11),0,IF(AND(Feed!E$3&gt;$BP11,$BP11&gt;Feed!D$3),$BQ11,MAX(MIN($BP11,Feed!E$3)-$BO11-BR11,0)))</f>
        <v>0</v>
      </c>
      <c r="BT11" s="330">
        <f>IF(ISBLANK($BO11),0,IF(OR(Feed!$F$3-$BO11&lt;0,$BP11&lt;Feed!$E$3),0,MIN($BP11,Feed!$F$3)-MAX(Feed!$E$3,$BO11)))</f>
        <v>0</v>
      </c>
      <c r="BU11" s="330">
        <f>IF($BP11&gt;Feed!$F$3,$BP11-Feed!$F$3,0)</f>
        <v>0</v>
      </c>
      <c r="BV11" s="331">
        <f>CH58</f>
        <v>0</v>
      </c>
      <c r="BW11" s="508">
        <f>CH56</f>
        <v>78.359787947924048</v>
      </c>
      <c r="BX11" s="331">
        <f>IF($BV11=0,0,$BV11-$BW11)</f>
        <v>0</v>
      </c>
      <c r="BY11" s="333" t="str">
        <f>CF56</f>
        <v>-</v>
      </c>
      <c r="BZ11" s="9"/>
      <c r="CA11" s="476"/>
      <c r="CB11" s="515">
        <f>IFERROR(VLOOKUP(CA11,Feed!$B$4:$H$19,2,FALSE)*($BR$7/$BQ$7)+VLOOKUP(CA11,Feed!$B$4:$H$19,3,FALSE)*($BS$7/$BQ$7)+VLOOKUP(CA11,Feed!$B$4:$H$19,4,FALSE)*($BT$7/$BQ$7)+VLOOKUP(CA11,Feed!$B$4:$H$19,5,FALSE)*($BU$7/$BQ$7),0)</f>
        <v>0</v>
      </c>
      <c r="CC11" s="299" t="str">
        <f t="shared" si="8"/>
        <v>-</v>
      </c>
      <c r="CD11" s="299" t="str">
        <f t="shared" si="9"/>
        <v>-</v>
      </c>
      <c r="CE11" s="482"/>
      <c r="CF11" s="299" t="str">
        <f t="shared" si="28"/>
        <v>-</v>
      </c>
      <c r="CG11" s="300">
        <f t="shared" si="10"/>
        <v>0</v>
      </c>
      <c r="CH11" s="301" t="str">
        <f t="shared" si="11"/>
        <v>-</v>
      </c>
      <c r="CI11" s="9"/>
      <c r="CL11" s="9"/>
      <c r="CM11" s="254" t="s">
        <v>224</v>
      </c>
      <c r="CN11" s="255"/>
      <c r="CO11" s="276" t="str">
        <f>IFERROR(SUMPRODUCT(CN5:CN9,CP5:CP9)/CN10,"-")</f>
        <v>-</v>
      </c>
      <c r="CP11" s="9"/>
      <c r="CQ11" s="9"/>
      <c r="CR11" s="9"/>
      <c r="CS11" s="9"/>
      <c r="CV11" s="9"/>
      <c r="CW11" s="484"/>
      <c r="CX11" s="485"/>
      <c r="CY11" s="487"/>
      <c r="CZ11" s="487"/>
      <c r="DA11" s="485"/>
      <c r="DB11" s="278">
        <f t="shared" si="13"/>
        <v>0</v>
      </c>
      <c r="DC11" s="9"/>
      <c r="DD11" s="9"/>
      <c r="DE11" s="9"/>
      <c r="DF11" s="9"/>
      <c r="DI11" s="9"/>
      <c r="DJ11" s="484"/>
      <c r="DK11" s="485"/>
      <c r="DL11" s="9" t="str">
        <f t="shared" si="0"/>
        <v>-</v>
      </c>
      <c r="DM11" s="485"/>
      <c r="DN11" s="485"/>
      <c r="DO11" s="279" t="str">
        <f t="shared" si="14"/>
        <v/>
      </c>
      <c r="DP11" s="485"/>
      <c r="DQ11" s="278" t="str">
        <f t="shared" si="15"/>
        <v/>
      </c>
      <c r="DR11" s="9"/>
      <c r="DS11" s="9"/>
      <c r="DT11" s="9"/>
      <c r="DU11" s="9"/>
      <c r="DX11" s="9"/>
      <c r="DY11" s="620" t="s">
        <v>250</v>
      </c>
      <c r="DZ11" s="621"/>
      <c r="EA11" s="621"/>
      <c r="EB11" s="622"/>
      <c r="EC11" s="9"/>
      <c r="ED11" s="9"/>
      <c r="EE11" s="9"/>
      <c r="EF11" s="9"/>
      <c r="EJ11" s="9"/>
      <c r="EK11" s="334" t="s">
        <v>265</v>
      </c>
      <c r="EL11" s="500">
        <f>EB10*R15</f>
        <v>0</v>
      </c>
      <c r="EM11" s="9"/>
      <c r="EN11" s="9"/>
      <c r="EO11" s="9"/>
      <c r="EP11" s="9"/>
    </row>
    <row r="12" spans="1:146" ht="18.95" customHeight="1" x14ac:dyDescent="0.25">
      <c r="A12" s="614" t="s">
        <v>434</v>
      </c>
      <c r="B12" s="615"/>
      <c r="C12" s="615"/>
      <c r="D12" s="615"/>
      <c r="E12" s="615"/>
      <c r="F12" s="616"/>
      <c r="G12" s="283"/>
      <c r="H12" s="284"/>
      <c r="I12" s="318" t="s">
        <v>96</v>
      </c>
      <c r="J12" s="459"/>
      <c r="K12" s="336" t="s">
        <v>56</v>
      </c>
      <c r="L12" s="284"/>
      <c r="M12" s="283"/>
      <c r="N12" s="283"/>
      <c r="O12" s="259">
        <f>SUM(R5:R12)</f>
        <v>0</v>
      </c>
      <c r="P12" s="260">
        <v>8</v>
      </c>
      <c r="Q12" s="461"/>
      <c r="R12" s="287">
        <f t="shared" si="1"/>
        <v>0</v>
      </c>
      <c r="S12" s="467"/>
      <c r="T12" s="464"/>
      <c r="U12" s="465"/>
      <c r="V12" s="468"/>
      <c r="W12" s="467"/>
      <c r="X12" s="262">
        <f t="shared" si="2"/>
        <v>0</v>
      </c>
      <c r="Y12" s="263" t="str">
        <f t="shared" si="3"/>
        <v>-</v>
      </c>
      <c r="Z12" s="264">
        <v>8</v>
      </c>
      <c r="AA12" s="474"/>
      <c r="AB12" s="474"/>
      <c r="AC12" s="467"/>
      <c r="AD12" s="262">
        <f t="shared" si="4"/>
        <v>0</v>
      </c>
      <c r="AE12" s="265" t="str">
        <f t="shared" si="5"/>
        <v>-</v>
      </c>
      <c r="AF12" s="266" t="str">
        <f t="shared" si="6"/>
        <v>-</v>
      </c>
      <c r="AG12" s="9"/>
      <c r="AH12" s="9"/>
      <c r="AI12" s="9"/>
      <c r="AJ12" s="9"/>
      <c r="AK12" s="9"/>
      <c r="AL12" s="283"/>
      <c r="AM12" s="259">
        <v>7</v>
      </c>
      <c r="AN12" s="310" t="str">
        <f t="shared" si="29"/>
        <v>-</v>
      </c>
      <c r="AO12" s="9" t="str">
        <f t="shared" si="16"/>
        <v>-</v>
      </c>
      <c r="AP12" s="289" t="str">
        <f t="shared" si="17"/>
        <v>-</v>
      </c>
      <c r="AQ12" s="9" t="str">
        <f t="shared" si="18"/>
        <v>-</v>
      </c>
      <c r="AR12" s="453"/>
      <c r="AS12" s="453"/>
      <c r="AT12" s="229" t="str">
        <f t="shared" si="19"/>
        <v>-</v>
      </c>
      <c r="AU12" s="290" t="str">
        <f t="shared" si="20"/>
        <v>N/A</v>
      </c>
      <c r="AV12" s="453"/>
      <c r="AW12" s="290" t="str">
        <f t="shared" si="7"/>
        <v>N/A</v>
      </c>
      <c r="AX12" s="453"/>
      <c r="AY12" s="290" t="str">
        <f t="shared" si="21"/>
        <v>N/A</v>
      </c>
      <c r="AZ12" s="453"/>
      <c r="BA12" s="291" t="str">
        <f t="shared" si="22"/>
        <v>N/A</v>
      </c>
      <c r="BB12" s="292" t="str">
        <f t="shared" si="23"/>
        <v>-</v>
      </c>
      <c r="BC12" s="512" t="str">
        <f t="shared" si="24"/>
        <v>-</v>
      </c>
      <c r="BD12" s="293" t="str">
        <f t="shared" si="25"/>
        <v>-</v>
      </c>
      <c r="BE12" s="293" t="str">
        <f t="shared" si="26"/>
        <v>-</v>
      </c>
      <c r="BF12" s="294" t="str">
        <f t="shared" si="27"/>
        <v>-</v>
      </c>
      <c r="BG12" s="9"/>
      <c r="BH12" s="9"/>
      <c r="BI12" s="9"/>
      <c r="BJ12" s="9"/>
      <c r="BM12" s="9"/>
      <c r="BN12" s="9"/>
      <c r="BO12" s="9"/>
      <c r="BP12" s="9" t="s">
        <v>370</v>
      </c>
      <c r="BQ12" s="337">
        <f>SUM(BQ7:BQ11)</f>
        <v>0</v>
      </c>
      <c r="BR12" s="9"/>
      <c r="BS12" s="9"/>
      <c r="BT12" s="9"/>
      <c r="BU12" s="9"/>
      <c r="BV12" s="9"/>
      <c r="BW12" s="9"/>
      <c r="BX12" s="9"/>
      <c r="BY12" s="9"/>
      <c r="BZ12" s="9"/>
      <c r="CA12" s="338" t="s">
        <v>330</v>
      </c>
      <c r="CB12" s="516">
        <f>'AUM Evaluator'!$S$9*$CB$61</f>
        <v>78.359787947924048</v>
      </c>
      <c r="CC12" s="299">
        <v>1</v>
      </c>
      <c r="CD12" s="340">
        <v>0</v>
      </c>
      <c r="CE12" s="483"/>
      <c r="CF12" s="341" t="str">
        <f t="shared" si="28"/>
        <v>-</v>
      </c>
      <c r="CG12" s="342">
        <f t="shared" si="10"/>
        <v>0</v>
      </c>
      <c r="CH12" s="343">
        <f t="shared" si="11"/>
        <v>78.359787947924048</v>
      </c>
      <c r="CI12" s="9"/>
      <c r="CL12" s="9"/>
      <c r="CM12" s="254" t="s">
        <v>255</v>
      </c>
      <c r="CN12" s="255"/>
      <c r="CO12" s="276">
        <f>MAX(AZ56,AX56,AV56,AS56,AR56)-AR56</f>
        <v>0</v>
      </c>
      <c r="CP12" s="9"/>
      <c r="CQ12" s="9"/>
      <c r="CR12" s="9"/>
      <c r="CS12" s="9"/>
      <c r="CV12" s="9"/>
      <c r="CW12" s="484"/>
      <c r="CX12" s="485"/>
      <c r="CY12" s="487"/>
      <c r="CZ12" s="487"/>
      <c r="DA12" s="485"/>
      <c r="DB12" s="278">
        <f t="shared" si="13"/>
        <v>0</v>
      </c>
      <c r="DC12" s="9"/>
      <c r="DD12" s="9"/>
      <c r="DE12" s="9"/>
      <c r="DF12" s="9"/>
      <c r="DI12" s="9"/>
      <c r="DJ12" s="484"/>
      <c r="DK12" s="485"/>
      <c r="DL12" s="9" t="str">
        <f t="shared" si="0"/>
        <v>-</v>
      </c>
      <c r="DM12" s="485"/>
      <c r="DN12" s="485"/>
      <c r="DO12" s="279" t="str">
        <f t="shared" si="14"/>
        <v/>
      </c>
      <c r="DP12" s="485"/>
      <c r="DQ12" s="278" t="str">
        <f t="shared" si="15"/>
        <v/>
      </c>
      <c r="DR12" s="9"/>
      <c r="DS12" s="9"/>
      <c r="DT12" s="9"/>
      <c r="DU12" s="9"/>
      <c r="DX12" s="9"/>
      <c r="DY12" s="304" t="s">
        <v>232</v>
      </c>
      <c r="DZ12" s="306" t="str">
        <f>ROUND(AR56,0)&amp; " pounds at $"&amp;ROUND(W15/100,2)&amp;" per pound"</f>
        <v>0 pounds at $0 per pound</v>
      </c>
      <c r="EA12" s="306"/>
      <c r="EB12" s="344">
        <f>Y15</f>
        <v>0</v>
      </c>
      <c r="EC12" s="9"/>
      <c r="ED12" s="9"/>
      <c r="EE12" s="9"/>
      <c r="EF12" s="9"/>
      <c r="EJ12" s="9"/>
      <c r="EK12" s="334" t="s">
        <v>259</v>
      </c>
      <c r="EL12" s="500">
        <f>EB10</f>
        <v>0</v>
      </c>
      <c r="EM12" s="9"/>
      <c r="EN12" s="9"/>
      <c r="EO12" s="9"/>
      <c r="EP12" s="9"/>
    </row>
    <row r="13" spans="1:146" ht="18.95" customHeight="1" thickBot="1" x14ac:dyDescent="0.3">
      <c r="G13" s="283"/>
      <c r="H13" s="284"/>
      <c r="I13" s="345" t="s">
        <v>3</v>
      </c>
      <c r="J13" s="460"/>
      <c r="K13" s="346" t="s">
        <v>46</v>
      </c>
      <c r="L13" s="284"/>
      <c r="M13" s="283"/>
      <c r="N13" s="283"/>
      <c r="O13" s="259">
        <f>SUM(R5:R13)</f>
        <v>0</v>
      </c>
      <c r="P13" s="260">
        <v>9</v>
      </c>
      <c r="Q13" s="461"/>
      <c r="R13" s="287">
        <f t="shared" si="1"/>
        <v>0</v>
      </c>
      <c r="S13" s="467"/>
      <c r="T13" s="464"/>
      <c r="U13" s="465"/>
      <c r="V13" s="468"/>
      <c r="W13" s="467"/>
      <c r="X13" s="262">
        <f t="shared" si="2"/>
        <v>0</v>
      </c>
      <c r="Y13" s="263" t="str">
        <f t="shared" si="3"/>
        <v>-</v>
      </c>
      <c r="Z13" s="264">
        <v>9</v>
      </c>
      <c r="AA13" s="474"/>
      <c r="AB13" s="474"/>
      <c r="AC13" s="467"/>
      <c r="AD13" s="262">
        <f t="shared" si="4"/>
        <v>0</v>
      </c>
      <c r="AE13" s="265" t="str">
        <f t="shared" si="5"/>
        <v>-</v>
      </c>
      <c r="AF13" s="266" t="str">
        <f t="shared" si="6"/>
        <v>-</v>
      </c>
      <c r="AG13" s="9"/>
      <c r="AH13" s="9"/>
      <c r="AI13" s="9"/>
      <c r="AJ13" s="9"/>
      <c r="AK13" s="9"/>
      <c r="AL13" s="283"/>
      <c r="AM13" s="259">
        <v>8</v>
      </c>
      <c r="AN13" s="310" t="str">
        <f t="shared" si="29"/>
        <v>-</v>
      </c>
      <c r="AO13" s="9" t="str">
        <f t="shared" si="16"/>
        <v>-</v>
      </c>
      <c r="AP13" s="289" t="str">
        <f t="shared" si="17"/>
        <v>-</v>
      </c>
      <c r="AQ13" s="9" t="str">
        <f t="shared" si="18"/>
        <v>-</v>
      </c>
      <c r="AR13" s="453"/>
      <c r="AS13" s="453"/>
      <c r="AT13" s="229" t="str">
        <f t="shared" si="19"/>
        <v>-</v>
      </c>
      <c r="AU13" s="290" t="str">
        <f t="shared" si="20"/>
        <v>N/A</v>
      </c>
      <c r="AV13" s="453"/>
      <c r="AW13" s="290" t="str">
        <f t="shared" si="7"/>
        <v>N/A</v>
      </c>
      <c r="AX13" s="453"/>
      <c r="AY13" s="290" t="str">
        <f t="shared" si="21"/>
        <v>N/A</v>
      </c>
      <c r="AZ13" s="453"/>
      <c r="BA13" s="291" t="str">
        <f t="shared" si="22"/>
        <v>N/A</v>
      </c>
      <c r="BB13" s="292" t="str">
        <f t="shared" si="23"/>
        <v>-</v>
      </c>
      <c r="BC13" s="512" t="str">
        <f t="shared" si="24"/>
        <v>-</v>
      </c>
      <c r="BD13" s="293" t="str">
        <f t="shared" si="25"/>
        <v>-</v>
      </c>
      <c r="BE13" s="293" t="str">
        <f t="shared" si="26"/>
        <v>-</v>
      </c>
      <c r="BF13" s="294" t="str">
        <f t="shared" si="27"/>
        <v>-</v>
      </c>
      <c r="BG13" s="9"/>
      <c r="BH13" s="259" t="s">
        <v>301</v>
      </c>
      <c r="BI13" s="9"/>
      <c r="BJ13" s="9"/>
      <c r="BN13" s="347" t="s">
        <v>293</v>
      </c>
      <c r="BZ13" s="9"/>
      <c r="CA13" s="348"/>
      <c r="CB13" s="349"/>
      <c r="CC13" s="350" t="s">
        <v>58</v>
      </c>
      <c r="CD13" s="351"/>
      <c r="CE13" s="352">
        <f>SUM(CE6:CE12)</f>
        <v>0</v>
      </c>
      <c r="CF13" s="353">
        <f>SUM(CF6:CF12)</f>
        <v>0</v>
      </c>
      <c r="CG13" s="352">
        <f t="shared" si="10"/>
        <v>0</v>
      </c>
      <c r="CH13" s="354"/>
      <c r="CI13" s="9"/>
      <c r="CL13" s="9"/>
      <c r="CM13" s="254" t="s">
        <v>254</v>
      </c>
      <c r="CN13" s="255"/>
      <c r="CO13" s="276" t="str">
        <f>BD56</f>
        <v>-</v>
      </c>
      <c r="CP13" s="9"/>
      <c r="CQ13" s="9"/>
      <c r="CR13" s="9"/>
      <c r="CS13" s="9"/>
      <c r="CV13" s="9"/>
      <c r="CW13" s="484"/>
      <c r="CX13" s="485"/>
      <c r="CY13" s="487"/>
      <c r="CZ13" s="487"/>
      <c r="DA13" s="485"/>
      <c r="DB13" s="278">
        <f t="shared" si="13"/>
        <v>0</v>
      </c>
      <c r="DC13" s="9"/>
      <c r="DD13" s="9"/>
      <c r="DE13" s="9"/>
      <c r="DF13" s="9"/>
      <c r="DI13" s="9"/>
      <c r="DJ13" s="484"/>
      <c r="DK13" s="485"/>
      <c r="DL13" s="9" t="str">
        <f t="shared" si="0"/>
        <v>-</v>
      </c>
      <c r="DM13" s="485"/>
      <c r="DN13" s="485"/>
      <c r="DO13" s="279" t="str">
        <f t="shared" si="14"/>
        <v/>
      </c>
      <c r="DP13" s="485"/>
      <c r="DQ13" s="278" t="str">
        <f t="shared" si="15"/>
        <v/>
      </c>
      <c r="DR13" s="9"/>
      <c r="DS13" s="9"/>
      <c r="DT13" s="9"/>
      <c r="DU13" s="9"/>
      <c r="DX13" s="9"/>
      <c r="DY13" s="304" t="s">
        <v>238</v>
      </c>
      <c r="DZ13" s="306"/>
      <c r="EA13" s="306"/>
      <c r="EB13" s="344">
        <f>J6</f>
        <v>0</v>
      </c>
      <c r="EC13" s="9"/>
      <c r="ED13" s="9"/>
      <c r="EE13" s="9"/>
      <c r="EF13" s="9"/>
      <c r="EJ13" s="9"/>
      <c r="EK13" s="334" t="s">
        <v>128</v>
      </c>
      <c r="EL13" s="501">
        <f>EB24*R15</f>
        <v>0</v>
      </c>
      <c r="EM13" s="9"/>
      <c r="EN13" s="9"/>
      <c r="EO13" s="9"/>
      <c r="EP13" s="9"/>
    </row>
    <row r="14" spans="1:146" ht="18.95" customHeight="1" thickBot="1" x14ac:dyDescent="0.3">
      <c r="H14" s="9"/>
      <c r="I14" s="356"/>
      <c r="J14" s="9"/>
      <c r="K14" s="9"/>
      <c r="L14" s="9"/>
      <c r="O14" s="259">
        <f>SUM(R5:R14)</f>
        <v>0</v>
      </c>
      <c r="P14" s="357">
        <v>10</v>
      </c>
      <c r="Q14" s="462"/>
      <c r="R14" s="358">
        <f t="shared" si="1"/>
        <v>0</v>
      </c>
      <c r="S14" s="469"/>
      <c r="T14" s="470"/>
      <c r="U14" s="471"/>
      <c r="V14" s="472"/>
      <c r="W14" s="473"/>
      <c r="X14" s="359">
        <f t="shared" si="2"/>
        <v>0</v>
      </c>
      <c r="Y14" s="360" t="str">
        <f t="shared" si="3"/>
        <v>-</v>
      </c>
      <c r="Z14" s="527">
        <v>10</v>
      </c>
      <c r="AA14" s="475"/>
      <c r="AB14" s="475"/>
      <c r="AC14" s="473"/>
      <c r="AD14" s="359">
        <f t="shared" si="4"/>
        <v>0</v>
      </c>
      <c r="AE14" s="361" t="str">
        <f t="shared" si="5"/>
        <v>-</v>
      </c>
      <c r="AF14" s="362" t="str">
        <f t="shared" si="6"/>
        <v>-</v>
      </c>
      <c r="AG14" s="9"/>
      <c r="AH14" s="9"/>
      <c r="AI14" s="9"/>
      <c r="AJ14" s="9"/>
      <c r="AK14" s="9"/>
      <c r="AM14" s="259">
        <v>9</v>
      </c>
      <c r="AN14" s="310" t="str">
        <f t="shared" si="29"/>
        <v>-</v>
      </c>
      <c r="AO14" s="9" t="str">
        <f t="shared" si="16"/>
        <v>-</v>
      </c>
      <c r="AP14" s="289" t="str">
        <f t="shared" si="17"/>
        <v>-</v>
      </c>
      <c r="AQ14" s="9" t="str">
        <f t="shared" si="18"/>
        <v>-</v>
      </c>
      <c r="AR14" s="453"/>
      <c r="AS14" s="453"/>
      <c r="AT14" s="229" t="str">
        <f t="shared" si="19"/>
        <v>-</v>
      </c>
      <c r="AU14" s="290" t="str">
        <f t="shared" si="20"/>
        <v>N/A</v>
      </c>
      <c r="AV14" s="453"/>
      <c r="AW14" s="290" t="str">
        <f t="shared" si="7"/>
        <v>N/A</v>
      </c>
      <c r="AX14" s="453"/>
      <c r="AY14" s="290" t="str">
        <f t="shared" si="21"/>
        <v>N/A</v>
      </c>
      <c r="AZ14" s="453"/>
      <c r="BA14" s="291" t="str">
        <f t="shared" si="22"/>
        <v>N/A</v>
      </c>
      <c r="BB14" s="292" t="str">
        <f t="shared" si="23"/>
        <v>-</v>
      </c>
      <c r="BC14" s="512" t="str">
        <f t="shared" si="24"/>
        <v>-</v>
      </c>
      <c r="BD14" s="293" t="str">
        <f t="shared" si="25"/>
        <v>-</v>
      </c>
      <c r="BE14" s="293" t="str">
        <f t="shared" si="26"/>
        <v>-</v>
      </c>
      <c r="BF14" s="294" t="str">
        <f t="shared" si="27"/>
        <v>-</v>
      </c>
      <c r="BG14" s="9"/>
      <c r="BH14" s="259" t="s">
        <v>302</v>
      </c>
      <c r="BI14" s="9"/>
      <c r="BJ14" s="9"/>
      <c r="BN14" s="347" t="s">
        <v>293</v>
      </c>
      <c r="BO14" s="213"/>
      <c r="BP14" s="213"/>
      <c r="BQ14" s="213"/>
      <c r="BR14" s="213"/>
      <c r="BS14" s="213"/>
      <c r="BT14" s="213"/>
      <c r="BU14" s="213"/>
      <c r="BZ14" s="9"/>
      <c r="CA14" s="363"/>
      <c r="CB14" s="364"/>
      <c r="CC14" s="365"/>
      <c r="CD14" s="366" t="s">
        <v>226</v>
      </c>
      <c r="CE14" s="366"/>
      <c r="CF14" s="367"/>
      <c r="CG14" s="367"/>
      <c r="CH14" s="368">
        <f>SUMPRODUCT(CF6:CF12,CH6:CH12,CC6:CC12)</f>
        <v>0</v>
      </c>
      <c r="CI14" s="9"/>
      <c r="CL14" s="9"/>
      <c r="CM14" s="254" t="s">
        <v>257</v>
      </c>
      <c r="CN14" s="255"/>
      <c r="CO14" s="276">
        <f>IFERROR(CO18/CO12,)</f>
        <v>0</v>
      </c>
      <c r="CP14" s="9"/>
      <c r="CQ14" s="9"/>
      <c r="CR14" s="9"/>
      <c r="CS14" s="9"/>
      <c r="CV14" s="9"/>
      <c r="CW14" s="484"/>
      <c r="CX14" s="485"/>
      <c r="CY14" s="487"/>
      <c r="CZ14" s="487"/>
      <c r="DA14" s="485"/>
      <c r="DB14" s="278">
        <f t="shared" si="13"/>
        <v>0</v>
      </c>
      <c r="DC14" s="9"/>
      <c r="DD14" s="9"/>
      <c r="DE14" s="9"/>
      <c r="DF14" s="9"/>
      <c r="DI14" s="9"/>
      <c r="DJ14" s="484"/>
      <c r="DK14" s="485"/>
      <c r="DL14" s="9" t="str">
        <f t="shared" si="0"/>
        <v>-</v>
      </c>
      <c r="DM14" s="485"/>
      <c r="DN14" s="485"/>
      <c r="DO14" s="279" t="str">
        <f t="shared" si="14"/>
        <v/>
      </c>
      <c r="DP14" s="485"/>
      <c r="DQ14" s="278" t="str">
        <f t="shared" si="15"/>
        <v/>
      </c>
      <c r="DR14" s="9"/>
      <c r="DS14" s="9"/>
      <c r="DT14" s="9"/>
      <c r="DU14" s="9"/>
      <c r="DX14" s="9"/>
      <c r="DY14" s="304" t="s">
        <v>122</v>
      </c>
      <c r="DZ14" s="306"/>
      <c r="EA14" s="306"/>
      <c r="EB14" s="344" t="str">
        <f>IFERROR(CO18,)</f>
        <v>-</v>
      </c>
      <c r="EC14" s="9"/>
      <c r="ED14" s="9"/>
      <c r="EE14" s="9"/>
      <c r="EF14" s="9"/>
      <c r="EJ14" s="9"/>
      <c r="EK14" s="334" t="s">
        <v>260</v>
      </c>
      <c r="EL14" s="501">
        <f>EB24</f>
        <v>0</v>
      </c>
      <c r="EM14" s="9"/>
      <c r="EN14" s="9"/>
      <c r="EO14" s="9"/>
      <c r="EP14" s="9"/>
    </row>
    <row r="15" spans="1:146" ht="18.95" customHeight="1" thickBot="1" x14ac:dyDescent="0.3">
      <c r="H15" s="9"/>
      <c r="I15" s="9"/>
      <c r="J15" s="9"/>
      <c r="K15" s="9"/>
      <c r="L15" s="9"/>
      <c r="O15" s="9"/>
      <c r="P15" s="369"/>
      <c r="Q15" s="370" t="s">
        <v>186</v>
      </c>
      <c r="R15" s="370">
        <f>SUM(R5:R14)</f>
        <v>0</v>
      </c>
      <c r="S15" s="370"/>
      <c r="T15" s="370"/>
      <c r="U15" s="370"/>
      <c r="V15" s="371" t="str">
        <f>IFERROR(SUMPRODUCT(R5:R14,V5:V14)/R15,"-")</f>
        <v>-</v>
      </c>
      <c r="W15" s="372">
        <f>IFERROR(AVERAGE(W5:W14),)</f>
        <v>0</v>
      </c>
      <c r="X15" s="372">
        <f>SUM(X5:X14)</f>
        <v>0</v>
      </c>
      <c r="Y15" s="373">
        <f>IFERROR(AVERAGE(Y5:Y14),)</f>
        <v>0</v>
      </c>
      <c r="Z15" s="372"/>
      <c r="AA15" s="374">
        <f>SUM(AA5:AA14)</f>
        <v>0</v>
      </c>
      <c r="AB15" s="371" t="str">
        <f>IFERROR(SUMPRODUCT(AA5:AA14,AB5:AB14)/AA15,"-")</f>
        <v>-</v>
      </c>
      <c r="AC15" s="372">
        <f>IFERROR(SUMPRODUCT(AA5:AA14,AC5:AC14,AB5:AB14)/(AA15*AB15),)</f>
        <v>0</v>
      </c>
      <c r="AD15" s="372">
        <f>SUM(AD5:AD14)</f>
        <v>0</v>
      </c>
      <c r="AE15" s="372">
        <f>IFERROR(AVERAGE(AE5:AE14),)</f>
        <v>0</v>
      </c>
      <c r="AF15" s="373">
        <f>IFERROR(SUMPRODUCT(AF5:AF14,AA5:AA14)/AA15,0)</f>
        <v>0</v>
      </c>
      <c r="AG15" s="9"/>
      <c r="AH15" s="9"/>
      <c r="AI15" s="9"/>
      <c r="AJ15" s="9"/>
      <c r="AK15" s="9"/>
      <c r="AM15" s="259">
        <v>10</v>
      </c>
      <c r="AN15" s="310" t="str">
        <f t="shared" si="29"/>
        <v>-</v>
      </c>
      <c r="AO15" s="9" t="str">
        <f t="shared" si="16"/>
        <v>-</v>
      </c>
      <c r="AP15" s="289" t="str">
        <f t="shared" si="17"/>
        <v>-</v>
      </c>
      <c r="AQ15" s="9" t="str">
        <f t="shared" si="18"/>
        <v>-</v>
      </c>
      <c r="AR15" s="453"/>
      <c r="AS15" s="453"/>
      <c r="AT15" s="229" t="str">
        <f t="shared" si="19"/>
        <v>-</v>
      </c>
      <c r="AU15" s="290" t="str">
        <f t="shared" si="20"/>
        <v>N/A</v>
      </c>
      <c r="AV15" s="453"/>
      <c r="AW15" s="290" t="str">
        <f t="shared" si="7"/>
        <v>N/A</v>
      </c>
      <c r="AX15" s="453"/>
      <c r="AY15" s="290" t="str">
        <f t="shared" si="21"/>
        <v>N/A</v>
      </c>
      <c r="AZ15" s="453"/>
      <c r="BA15" s="291" t="str">
        <f t="shared" si="22"/>
        <v>N/A</v>
      </c>
      <c r="BB15" s="292" t="str">
        <f t="shared" si="23"/>
        <v>-</v>
      </c>
      <c r="BC15" s="512" t="str">
        <f t="shared" si="24"/>
        <v>-</v>
      </c>
      <c r="BD15" s="293" t="str">
        <f t="shared" si="25"/>
        <v>-</v>
      </c>
      <c r="BE15" s="293" t="str">
        <f t="shared" si="26"/>
        <v>-</v>
      </c>
      <c r="BF15" s="294" t="str">
        <f t="shared" si="27"/>
        <v>-</v>
      </c>
      <c r="BG15" s="9"/>
      <c r="BH15" s="9"/>
      <c r="BI15" s="9"/>
      <c r="BJ15" s="9"/>
      <c r="BN15" s="347" t="s">
        <v>293</v>
      </c>
      <c r="BZ15" s="9"/>
      <c r="CA15" s="9" t="s">
        <v>227</v>
      </c>
      <c r="CB15" s="9"/>
      <c r="CC15" s="9"/>
      <c r="CD15" s="9"/>
      <c r="CE15" s="9"/>
      <c r="CF15" s="9"/>
      <c r="CG15" s="9"/>
      <c r="CH15" s="9"/>
      <c r="CI15" s="9"/>
      <c r="CL15" s="9"/>
      <c r="CM15" s="254" t="s">
        <v>207</v>
      </c>
      <c r="CN15" s="255"/>
      <c r="CO15" s="375" t="str">
        <f>IFERROR(SUMPRODUCT(CN5:CN9,CQ5:CQ9)/CN10,"-")</f>
        <v>-</v>
      </c>
      <c r="CP15" s="9"/>
      <c r="CQ15" s="9"/>
      <c r="CR15" s="9"/>
      <c r="CS15" s="9"/>
      <c r="CV15" s="9"/>
      <c r="CW15" s="484"/>
      <c r="CX15" s="485"/>
      <c r="CY15" s="487"/>
      <c r="CZ15" s="487"/>
      <c r="DA15" s="485"/>
      <c r="DB15" s="278">
        <f t="shared" si="13"/>
        <v>0</v>
      </c>
      <c r="DC15" s="9"/>
      <c r="DD15" s="9"/>
      <c r="DE15" s="9"/>
      <c r="DF15" s="9"/>
      <c r="DI15" s="9"/>
      <c r="DJ15" s="484"/>
      <c r="DK15" s="485"/>
      <c r="DL15" s="9" t="str">
        <f t="shared" si="0"/>
        <v>-</v>
      </c>
      <c r="DM15" s="485"/>
      <c r="DN15" s="485"/>
      <c r="DO15" s="279" t="str">
        <f t="shared" si="14"/>
        <v/>
      </c>
      <c r="DP15" s="485"/>
      <c r="DQ15" s="278" t="str">
        <f t="shared" si="15"/>
        <v/>
      </c>
      <c r="DR15" s="9"/>
      <c r="DS15" s="9"/>
      <c r="DT15" s="9"/>
      <c r="DU15" s="9"/>
      <c r="DX15" s="9"/>
      <c r="DY15" s="304"/>
      <c r="DZ15" s="306"/>
      <c r="EA15" s="306"/>
      <c r="EB15" s="344"/>
      <c r="EC15" s="9"/>
      <c r="ED15" s="9"/>
      <c r="EE15" s="9"/>
      <c r="EF15" s="9"/>
      <c r="EJ15" s="9"/>
      <c r="EK15" s="334" t="s">
        <v>353</v>
      </c>
      <c r="EL15" s="501">
        <f>EB25*R15</f>
        <v>0</v>
      </c>
      <c r="EM15" s="9"/>
      <c r="EN15" s="9"/>
      <c r="EO15" s="9"/>
      <c r="EP15" s="9"/>
    </row>
    <row r="16" spans="1:146" ht="31.5" x14ac:dyDescent="0.25">
      <c r="O16" s="9"/>
      <c r="P16" s="9"/>
      <c r="Q16" s="9"/>
      <c r="R16" s="9"/>
      <c r="S16" s="9"/>
      <c r="T16" s="9"/>
      <c r="U16" s="9"/>
      <c r="V16" s="9"/>
      <c r="W16" s="9"/>
      <c r="X16" s="9"/>
      <c r="Y16" s="9"/>
      <c r="Z16" s="9"/>
      <c r="AA16" s="9"/>
      <c r="AB16" s="9"/>
      <c r="AC16" s="9"/>
      <c r="AD16" s="9"/>
      <c r="AE16" s="9"/>
      <c r="AF16" s="9"/>
      <c r="AG16" s="9"/>
      <c r="AH16" s="9"/>
      <c r="AI16" s="9"/>
      <c r="AJ16" s="9"/>
      <c r="AK16" s="9"/>
      <c r="AM16" s="259">
        <v>11</v>
      </c>
      <c r="AN16" s="310" t="str">
        <f t="shared" si="29"/>
        <v>-</v>
      </c>
      <c r="AO16" s="9" t="str">
        <f t="shared" si="16"/>
        <v>-</v>
      </c>
      <c r="AP16" s="289" t="str">
        <f t="shared" si="17"/>
        <v>-</v>
      </c>
      <c r="AQ16" s="9" t="str">
        <f t="shared" si="18"/>
        <v>-</v>
      </c>
      <c r="AR16" s="453"/>
      <c r="AS16" s="453"/>
      <c r="AT16" s="229" t="str">
        <f t="shared" si="19"/>
        <v>-</v>
      </c>
      <c r="AU16" s="290" t="str">
        <f>IFERROR(IF((AS16-AR16)/AT16&lt;-5,"CHECK INPUTS",(AS16-AR16)/AT16),"N/A")</f>
        <v>N/A</v>
      </c>
      <c r="AV16" s="453"/>
      <c r="AW16" s="290" t="str">
        <f t="shared" si="7"/>
        <v>N/A</v>
      </c>
      <c r="AX16" s="453"/>
      <c r="AY16" s="290" t="str">
        <f t="shared" si="21"/>
        <v>N/A</v>
      </c>
      <c r="AZ16" s="453"/>
      <c r="BA16" s="291" t="str">
        <f t="shared" si="22"/>
        <v>N/A</v>
      </c>
      <c r="BB16" s="292" t="str">
        <f t="shared" si="23"/>
        <v>-</v>
      </c>
      <c r="BC16" s="512" t="str">
        <f t="shared" si="24"/>
        <v>-</v>
      </c>
      <c r="BD16" s="293" t="str">
        <f t="shared" si="25"/>
        <v>-</v>
      </c>
      <c r="BE16" s="293" t="str">
        <f t="shared" si="26"/>
        <v>-</v>
      </c>
      <c r="BF16" s="294" t="str">
        <f t="shared" si="27"/>
        <v>-</v>
      </c>
      <c r="BG16" s="9"/>
      <c r="BH16" s="9"/>
      <c r="BI16" s="9"/>
      <c r="BJ16" s="9"/>
      <c r="BN16" s="347" t="s">
        <v>293</v>
      </c>
      <c r="BZ16" s="9"/>
      <c r="CA16" s="273" t="str">
        <f>IF(BN8=BN17,"-",BN8)</f>
        <v>-</v>
      </c>
      <c r="CB16" s="54" t="s">
        <v>328</v>
      </c>
      <c r="CC16" s="54" t="s">
        <v>205</v>
      </c>
      <c r="CD16" s="54" t="s">
        <v>95</v>
      </c>
      <c r="CE16" s="54" t="s">
        <v>326</v>
      </c>
      <c r="CF16" s="54" t="s">
        <v>206</v>
      </c>
      <c r="CG16" s="54" t="s">
        <v>234</v>
      </c>
      <c r="CH16" s="274" t="s">
        <v>209</v>
      </c>
      <c r="CI16" s="9"/>
      <c r="CL16" s="9"/>
      <c r="CM16" s="254" t="s">
        <v>256</v>
      </c>
      <c r="CN16" s="255"/>
      <c r="CO16" s="276" t="str">
        <f>IFERROR(CO10*CO15,"-")</f>
        <v>-</v>
      </c>
      <c r="CP16" s="9"/>
      <c r="CQ16" s="9"/>
      <c r="CR16" s="9"/>
      <c r="CS16" s="9"/>
      <c r="CV16" s="9"/>
      <c r="CW16" s="484"/>
      <c r="CX16" s="485"/>
      <c r="CY16" s="487"/>
      <c r="CZ16" s="487"/>
      <c r="DA16" s="485"/>
      <c r="DB16" s="278">
        <f t="shared" si="13"/>
        <v>0</v>
      </c>
      <c r="DC16" s="9"/>
      <c r="DD16" s="9"/>
      <c r="DE16" s="9"/>
      <c r="DF16" s="9"/>
      <c r="DI16" s="9"/>
      <c r="DJ16" s="484"/>
      <c r="DK16" s="485"/>
      <c r="DL16" s="9" t="str">
        <f t="shared" si="0"/>
        <v>-</v>
      </c>
      <c r="DM16" s="485"/>
      <c r="DN16" s="485"/>
      <c r="DO16" s="279" t="str">
        <f t="shared" si="14"/>
        <v/>
      </c>
      <c r="DP16" s="485"/>
      <c r="DQ16" s="278" t="str">
        <f t="shared" si="15"/>
        <v/>
      </c>
      <c r="DR16" s="9"/>
      <c r="DS16" s="9"/>
      <c r="DT16" s="9"/>
      <c r="DU16" s="9"/>
      <c r="DX16" s="9"/>
      <c r="DY16" s="625" t="s">
        <v>410</v>
      </c>
      <c r="DZ16" s="306" t="s">
        <v>325</v>
      </c>
      <c r="EA16" s="306"/>
      <c r="EB16" s="344">
        <f>DB19</f>
        <v>0</v>
      </c>
      <c r="EC16" s="9"/>
      <c r="ED16" s="9"/>
      <c r="EE16" s="9"/>
      <c r="EF16" s="9"/>
      <c r="EJ16" s="9"/>
      <c r="EK16" s="334" t="s">
        <v>352</v>
      </c>
      <c r="EL16" s="502">
        <f>EB25</f>
        <v>0</v>
      </c>
      <c r="EM16" s="9"/>
      <c r="EN16" s="9"/>
      <c r="EO16" s="9"/>
      <c r="EP16" s="9"/>
    </row>
    <row r="17" spans="39:146" ht="18.95" customHeight="1" thickBot="1" x14ac:dyDescent="0.3">
      <c r="AM17" s="259">
        <v>12</v>
      </c>
      <c r="AN17" s="310" t="str">
        <f t="shared" si="29"/>
        <v>-</v>
      </c>
      <c r="AO17" s="9" t="str">
        <f t="shared" si="16"/>
        <v>-</v>
      </c>
      <c r="AP17" s="289" t="str">
        <f t="shared" si="17"/>
        <v>-</v>
      </c>
      <c r="AQ17" s="9" t="str">
        <f t="shared" si="18"/>
        <v>-</v>
      </c>
      <c r="AR17" s="453"/>
      <c r="AS17" s="453"/>
      <c r="AT17" s="229" t="str">
        <f t="shared" si="19"/>
        <v>-</v>
      </c>
      <c r="AU17" s="290" t="str">
        <f t="shared" si="20"/>
        <v>N/A</v>
      </c>
      <c r="AV17" s="453"/>
      <c r="AW17" s="290" t="str">
        <f t="shared" si="7"/>
        <v>N/A</v>
      </c>
      <c r="AX17" s="453"/>
      <c r="AY17" s="290" t="str">
        <f t="shared" si="21"/>
        <v>N/A</v>
      </c>
      <c r="AZ17" s="453"/>
      <c r="BA17" s="291" t="str">
        <f t="shared" si="22"/>
        <v>N/A</v>
      </c>
      <c r="BB17" s="292" t="str">
        <f t="shared" si="23"/>
        <v>-</v>
      </c>
      <c r="BC17" s="512" t="str">
        <f t="shared" si="24"/>
        <v>-</v>
      </c>
      <c r="BD17" s="293" t="str">
        <f t="shared" si="25"/>
        <v>-</v>
      </c>
      <c r="BE17" s="293" t="str">
        <f t="shared" si="26"/>
        <v>-</v>
      </c>
      <c r="BF17" s="294" t="str">
        <f t="shared" si="27"/>
        <v>-</v>
      </c>
      <c r="BG17" s="9"/>
      <c r="BH17" s="9"/>
      <c r="BI17" s="9"/>
      <c r="BJ17" s="9"/>
      <c r="BN17" s="347" t="s">
        <v>293</v>
      </c>
      <c r="BZ17" s="9"/>
      <c r="CA17" s="476"/>
      <c r="CB17" s="515">
        <f>IFERROR(VLOOKUP(CA17,Feed!$B$4:$H$19,2,FALSE)*($BR$8/$BQ$8)+VLOOKUP(CA17,Feed!$B$4:$H$19,3,FALSE)*($BS$8/$BQ$8)+VLOOKUP(CA17,Feed!$B$4:$H$19,4,FALSE)*($BT$8/$BQ$8)+VLOOKUP(CA17,Feed!$B$4:$H$19,5,FALSE)*($BU$8/$BQ$8),0)</f>
        <v>0</v>
      </c>
      <c r="CC17" s="299" t="str">
        <f t="shared" ref="CC17:CC22" si="30">IFERROR(VLOOKUP($CA17,FeedIngLst,6,FALSE),"-")</f>
        <v>-</v>
      </c>
      <c r="CD17" s="299" t="str">
        <f t="shared" ref="CD17:CD22" si="31">IFERROR(VLOOKUP($CA17,FeedIngLst,7,FALSE),"-")</f>
        <v>-</v>
      </c>
      <c r="CE17" s="482"/>
      <c r="CF17" s="299" t="str">
        <f>IFERROR(CE17/$CE$24,"-")</f>
        <v>-</v>
      </c>
      <c r="CG17" s="300">
        <f t="shared" ref="CG17:CG24" si="32">CE17*$R$15*$BQ$8/2000</f>
        <v>0</v>
      </c>
      <c r="CH17" s="301" t="str">
        <f t="shared" ref="CH17:CH23" si="33">IFERROR($CB17/$CC17/(1-$CD17),"-")</f>
        <v>-</v>
      </c>
      <c r="CI17" s="9"/>
      <c r="CL17" s="9"/>
      <c r="CM17" s="254" t="s">
        <v>233</v>
      </c>
      <c r="CN17" s="255"/>
      <c r="CO17" s="375" t="str">
        <f>IFERROR(CO10/R15,"-")</f>
        <v>-</v>
      </c>
      <c r="CP17" s="9"/>
      <c r="CQ17" s="9"/>
      <c r="CR17" s="9"/>
      <c r="CS17" s="9"/>
      <c r="CV17" s="9"/>
      <c r="CW17" s="484"/>
      <c r="CX17" s="485"/>
      <c r="CY17" s="487"/>
      <c r="CZ17" s="487"/>
      <c r="DA17" s="485"/>
      <c r="DB17" s="278">
        <f t="shared" si="13"/>
        <v>0</v>
      </c>
      <c r="DC17" s="9"/>
      <c r="DD17" s="9"/>
      <c r="DE17" s="9"/>
      <c r="DF17" s="9"/>
      <c r="DI17" s="9"/>
      <c r="DJ17" s="484"/>
      <c r="DK17" s="485"/>
      <c r="DL17" s="9" t="str">
        <f t="shared" si="0"/>
        <v>-</v>
      </c>
      <c r="DM17" s="485"/>
      <c r="DN17" s="485"/>
      <c r="DO17" s="279" t="str">
        <f t="shared" si="14"/>
        <v/>
      </c>
      <c r="DP17" s="485"/>
      <c r="DQ17" s="278" t="str">
        <f t="shared" si="15"/>
        <v/>
      </c>
      <c r="DR17" s="9"/>
      <c r="DS17" s="9"/>
      <c r="DT17" s="9"/>
      <c r="DU17" s="9"/>
      <c r="DX17" s="9"/>
      <c r="DY17" s="625"/>
      <c r="DZ17" s="306" t="s">
        <v>235</v>
      </c>
      <c r="EA17" s="306"/>
      <c r="EB17" s="377" t="str">
        <f>IFERROR(DQ30/R15,"-")</f>
        <v>-</v>
      </c>
      <c r="EC17" s="9"/>
      <c r="ED17" s="9"/>
      <c r="EE17" s="9"/>
      <c r="EF17" s="9"/>
      <c r="EJ17" s="9"/>
      <c r="EK17" s="378" t="s">
        <v>261</v>
      </c>
      <c r="EL17" s="503">
        <f>IFERROR((EL11-EL13)/EL13,)</f>
        <v>0</v>
      </c>
      <c r="EM17" s="9"/>
      <c r="EN17" s="9"/>
      <c r="EO17" s="9"/>
      <c r="EP17" s="9"/>
    </row>
    <row r="18" spans="39:146" ht="18.95" customHeight="1" x14ac:dyDescent="0.25">
      <c r="AM18" s="259">
        <v>13</v>
      </c>
      <c r="AN18" s="310" t="str">
        <f t="shared" si="29"/>
        <v>-</v>
      </c>
      <c r="AO18" s="9" t="str">
        <f t="shared" si="16"/>
        <v>-</v>
      </c>
      <c r="AP18" s="289" t="str">
        <f t="shared" si="17"/>
        <v>-</v>
      </c>
      <c r="AQ18" s="9" t="str">
        <f t="shared" si="18"/>
        <v>-</v>
      </c>
      <c r="AR18" s="453"/>
      <c r="AS18" s="453"/>
      <c r="AT18" s="229" t="str">
        <f t="shared" si="19"/>
        <v>-</v>
      </c>
      <c r="AU18" s="290" t="str">
        <f t="shared" si="20"/>
        <v>N/A</v>
      </c>
      <c r="AV18" s="453"/>
      <c r="AW18" s="290" t="str">
        <f t="shared" si="7"/>
        <v>N/A</v>
      </c>
      <c r="AX18" s="453"/>
      <c r="AY18" s="290" t="str">
        <f t="shared" si="21"/>
        <v>N/A</v>
      </c>
      <c r="AZ18" s="453"/>
      <c r="BA18" s="291" t="str">
        <f t="shared" si="22"/>
        <v>N/A</v>
      </c>
      <c r="BB18" s="292" t="str">
        <f t="shared" si="23"/>
        <v>-</v>
      </c>
      <c r="BC18" s="512" t="str">
        <f t="shared" si="24"/>
        <v>-</v>
      </c>
      <c r="BD18" s="293" t="str">
        <f t="shared" si="25"/>
        <v>-</v>
      </c>
      <c r="BE18" s="293" t="str">
        <f t="shared" si="26"/>
        <v>-</v>
      </c>
      <c r="BF18" s="294" t="str">
        <f t="shared" si="27"/>
        <v>-</v>
      </c>
      <c r="BG18" s="9"/>
      <c r="BH18" s="9"/>
      <c r="BI18" s="9"/>
      <c r="BJ18" s="9"/>
      <c r="BZ18" s="9"/>
      <c r="CA18" s="476"/>
      <c r="CB18" s="515">
        <f>IFERROR(VLOOKUP(CA18,Feed!$B$4:$H$19,2,FALSE)*($BR$8/$BQ$8)+VLOOKUP(CA18,Feed!$B$4:$H$19,3,FALSE)*($BS$8/$BQ$8)+VLOOKUP(CA18,Feed!$B$4:$H$19,4,FALSE)*($BT$8/$BQ$8)+VLOOKUP(CA18,Feed!$B$4:$H$19,5,FALSE)*($BU$8/$BQ$8),0)</f>
        <v>0</v>
      </c>
      <c r="CC18" s="299" t="str">
        <f t="shared" si="30"/>
        <v>-</v>
      </c>
      <c r="CD18" s="299" t="str">
        <f t="shared" si="31"/>
        <v>-</v>
      </c>
      <c r="CE18" s="482"/>
      <c r="CF18" s="299" t="str">
        <f t="shared" ref="CF18:CF23" si="34">IFERROR(CE18/$CE$24,"-")</f>
        <v>-</v>
      </c>
      <c r="CG18" s="300">
        <f t="shared" si="32"/>
        <v>0</v>
      </c>
      <c r="CH18" s="301" t="str">
        <f t="shared" si="33"/>
        <v>-</v>
      </c>
      <c r="CI18" s="9"/>
      <c r="CL18" s="9"/>
      <c r="CM18" s="380" t="s">
        <v>59</v>
      </c>
      <c r="CN18" s="381"/>
      <c r="CO18" s="382" t="str">
        <f>IFERROR(CO16/R15,"-")</f>
        <v>-</v>
      </c>
      <c r="CP18" s="9"/>
      <c r="CQ18" s="9"/>
      <c r="CR18" s="9"/>
      <c r="CS18" s="9"/>
      <c r="CV18" s="9"/>
      <c r="CW18" s="486"/>
      <c r="CX18" s="473"/>
      <c r="CY18" s="488"/>
      <c r="CZ18" s="488"/>
      <c r="DA18" s="473"/>
      <c r="DB18" s="383">
        <f t="shared" si="13"/>
        <v>0</v>
      </c>
      <c r="DC18" s="9"/>
      <c r="DD18" s="9"/>
      <c r="DE18" s="9"/>
      <c r="DF18" s="9"/>
      <c r="DI18" s="9"/>
      <c r="DJ18" s="484"/>
      <c r="DK18" s="485"/>
      <c r="DL18" s="9" t="str">
        <f t="shared" si="0"/>
        <v>-</v>
      </c>
      <c r="DM18" s="485"/>
      <c r="DN18" s="485"/>
      <c r="DO18" s="279" t="str">
        <f t="shared" si="14"/>
        <v/>
      </c>
      <c r="DP18" s="485"/>
      <c r="DQ18" s="278" t="str">
        <f t="shared" si="15"/>
        <v/>
      </c>
      <c r="DR18" s="9"/>
      <c r="DS18" s="9"/>
      <c r="DT18" s="9"/>
      <c r="DU18" s="9"/>
      <c r="DX18" s="9"/>
      <c r="DY18" s="304" t="s">
        <v>239</v>
      </c>
      <c r="DZ18" s="306" t="s">
        <v>121</v>
      </c>
      <c r="EA18" s="306"/>
      <c r="EB18" s="344">
        <f>J9*MAX(AZ56,AS56,AV56,AX56)/100</f>
        <v>0</v>
      </c>
      <c r="EC18" s="9"/>
      <c r="ED18" s="9"/>
      <c r="EE18" s="9"/>
      <c r="EF18" s="9"/>
      <c r="EJ18" s="9"/>
      <c r="EK18" s="9"/>
      <c r="EL18" s="9"/>
      <c r="EM18" s="9"/>
      <c r="EN18" s="9"/>
      <c r="EO18" s="9"/>
      <c r="EP18" s="9"/>
    </row>
    <row r="19" spans="39:146" ht="18.95" customHeight="1" thickBot="1" x14ac:dyDescent="0.3">
      <c r="AM19" s="259">
        <v>14</v>
      </c>
      <c r="AN19" s="310" t="str">
        <f t="shared" si="29"/>
        <v>-</v>
      </c>
      <c r="AO19" s="9" t="str">
        <f t="shared" si="16"/>
        <v>-</v>
      </c>
      <c r="AP19" s="289" t="str">
        <f t="shared" si="17"/>
        <v>-</v>
      </c>
      <c r="AQ19" s="9" t="str">
        <f t="shared" si="18"/>
        <v>-</v>
      </c>
      <c r="AR19" s="453"/>
      <c r="AS19" s="453"/>
      <c r="AT19" s="229" t="str">
        <f t="shared" si="19"/>
        <v>-</v>
      </c>
      <c r="AU19" s="290" t="str">
        <f t="shared" si="20"/>
        <v>N/A</v>
      </c>
      <c r="AV19" s="453"/>
      <c r="AW19" s="290" t="str">
        <f t="shared" si="7"/>
        <v>N/A</v>
      </c>
      <c r="AX19" s="453"/>
      <c r="AY19" s="290" t="str">
        <f t="shared" si="21"/>
        <v>N/A</v>
      </c>
      <c r="AZ19" s="453"/>
      <c r="BA19" s="291" t="str">
        <f t="shared" si="22"/>
        <v>N/A</v>
      </c>
      <c r="BB19" s="292" t="str">
        <f t="shared" si="23"/>
        <v>-</v>
      </c>
      <c r="BC19" s="512" t="str">
        <f t="shared" si="24"/>
        <v>-</v>
      </c>
      <c r="BD19" s="293" t="str">
        <f t="shared" si="25"/>
        <v>-</v>
      </c>
      <c r="BE19" s="293" t="str">
        <f t="shared" si="26"/>
        <v>-</v>
      </c>
      <c r="BF19" s="294" t="str">
        <f t="shared" si="27"/>
        <v>-</v>
      </c>
      <c r="BG19" s="9"/>
      <c r="BH19" s="9"/>
      <c r="BI19" s="9"/>
      <c r="BJ19" s="9"/>
      <c r="BZ19" s="9"/>
      <c r="CA19" s="476"/>
      <c r="CB19" s="515">
        <f>IFERROR(VLOOKUP(CA19,Feed!$B$4:$H$19,2,FALSE)*($BR$8/$BQ$8)+VLOOKUP(CA19,Feed!$B$4:$H$19,3,FALSE)*($BS$8/$BQ$8)+VLOOKUP(CA19,Feed!$B$4:$H$19,4,FALSE)*($BT$8/$BQ$8)+VLOOKUP(CA19,Feed!$B$4:$H$19,5,FALSE)*($BU$8/$BQ$8),0)</f>
        <v>0</v>
      </c>
      <c r="CC19" s="299" t="str">
        <f t="shared" si="30"/>
        <v>-</v>
      </c>
      <c r="CD19" s="299" t="str">
        <f t="shared" si="31"/>
        <v>-</v>
      </c>
      <c r="CE19" s="482">
        <v>0</v>
      </c>
      <c r="CF19" s="299" t="str">
        <f t="shared" si="34"/>
        <v>-</v>
      </c>
      <c r="CG19" s="300">
        <f t="shared" si="32"/>
        <v>0</v>
      </c>
      <c r="CH19" s="301" t="str">
        <f t="shared" si="33"/>
        <v>-</v>
      </c>
      <c r="CI19" s="9"/>
      <c r="CL19" s="9"/>
      <c r="CM19" s="380" t="s">
        <v>38</v>
      </c>
      <c r="CN19" s="381"/>
      <c r="CO19" s="382" t="str">
        <f>IFERROR(CO18/CN10,"-")</f>
        <v>-</v>
      </c>
      <c r="CP19" s="9"/>
      <c r="CQ19" s="9"/>
      <c r="CR19" s="9"/>
      <c r="CS19" s="9"/>
      <c r="CV19" s="9"/>
      <c r="CW19" s="384"/>
      <c r="CX19" s="385"/>
      <c r="CY19" s="386" t="s">
        <v>315</v>
      </c>
      <c r="CZ19" s="386"/>
      <c r="DA19" s="370"/>
      <c r="DB19" s="387">
        <f>SUMIF(CZ5:CZ18,DD6,DB5:DB18)</f>
        <v>0</v>
      </c>
      <c r="DC19" s="9"/>
      <c r="DD19" s="9"/>
      <c r="DE19" s="9"/>
      <c r="DF19" s="9"/>
      <c r="DI19" s="9"/>
      <c r="DJ19" s="484"/>
      <c r="DK19" s="485"/>
      <c r="DL19" s="9" t="str">
        <f t="shared" si="0"/>
        <v>-</v>
      </c>
      <c r="DM19" s="485"/>
      <c r="DN19" s="485"/>
      <c r="DO19" s="279" t="str">
        <f t="shared" si="14"/>
        <v/>
      </c>
      <c r="DP19" s="485"/>
      <c r="DQ19" s="278" t="str">
        <f t="shared" si="15"/>
        <v/>
      </c>
      <c r="DR19" s="9"/>
      <c r="DS19" s="9"/>
      <c r="DT19" s="9"/>
      <c r="DU19" s="9"/>
      <c r="DX19" s="9"/>
      <c r="DY19" s="304" t="s">
        <v>237</v>
      </c>
      <c r="DZ19" s="306"/>
      <c r="EA19" s="306"/>
      <c r="EB19" s="344" t="str">
        <f>IFERROR(J7/R15,"-")</f>
        <v>-</v>
      </c>
      <c r="EC19" s="9"/>
      <c r="ED19" s="9"/>
      <c r="EE19" s="9"/>
      <c r="EF19" s="9"/>
    </row>
    <row r="20" spans="39:146" ht="18.95" customHeight="1" x14ac:dyDescent="0.25">
      <c r="AM20" s="259">
        <v>15</v>
      </c>
      <c r="AN20" s="310" t="str">
        <f t="shared" si="29"/>
        <v>-</v>
      </c>
      <c r="AO20" s="9" t="str">
        <f t="shared" si="16"/>
        <v>-</v>
      </c>
      <c r="AP20" s="289" t="str">
        <f t="shared" si="17"/>
        <v>-</v>
      </c>
      <c r="AQ20" s="9" t="str">
        <f t="shared" si="18"/>
        <v>-</v>
      </c>
      <c r="AR20" s="453"/>
      <c r="AS20" s="453"/>
      <c r="AT20" s="229" t="str">
        <f t="shared" si="19"/>
        <v>-</v>
      </c>
      <c r="AU20" s="290" t="str">
        <f t="shared" si="20"/>
        <v>N/A</v>
      </c>
      <c r="AV20" s="453"/>
      <c r="AW20" s="290" t="str">
        <f t="shared" si="7"/>
        <v>N/A</v>
      </c>
      <c r="AX20" s="453"/>
      <c r="AY20" s="290" t="str">
        <f t="shared" si="21"/>
        <v>N/A</v>
      </c>
      <c r="AZ20" s="453"/>
      <c r="BA20" s="291" t="str">
        <f t="shared" si="22"/>
        <v>N/A</v>
      </c>
      <c r="BB20" s="292" t="str">
        <f t="shared" si="23"/>
        <v>-</v>
      </c>
      <c r="BC20" s="512" t="str">
        <f t="shared" si="24"/>
        <v>-</v>
      </c>
      <c r="BD20" s="293" t="str">
        <f t="shared" si="25"/>
        <v>-</v>
      </c>
      <c r="BE20" s="293" t="str">
        <f t="shared" si="26"/>
        <v>-</v>
      </c>
      <c r="BF20" s="294" t="str">
        <f t="shared" si="27"/>
        <v>-</v>
      </c>
      <c r="BG20" s="9"/>
      <c r="BH20" s="9"/>
      <c r="BI20" s="9"/>
      <c r="BJ20" s="9"/>
      <c r="BZ20" s="9"/>
      <c r="CA20" s="476"/>
      <c r="CB20" s="515">
        <f>IFERROR(VLOOKUP(CA20,Feed!$B$4:$H$19,2,FALSE)*($BR$8/$BQ$8)+VLOOKUP(CA20,Feed!$B$4:$H$19,3,FALSE)*($BS$8/$BQ$8)+VLOOKUP(CA20,Feed!$B$4:$H$19,4,FALSE)*($BT$8/$BQ$8)+VLOOKUP(CA20,Feed!$B$4:$H$19,5,FALSE)*($BU$8/$BQ$8),0)</f>
        <v>0</v>
      </c>
      <c r="CC20" s="299" t="str">
        <f t="shared" si="30"/>
        <v>-</v>
      </c>
      <c r="CD20" s="299" t="str">
        <f t="shared" si="31"/>
        <v>-</v>
      </c>
      <c r="CE20" s="482"/>
      <c r="CF20" s="299" t="str">
        <f t="shared" si="34"/>
        <v>-</v>
      </c>
      <c r="CG20" s="300">
        <f t="shared" si="32"/>
        <v>0</v>
      </c>
      <c r="CH20" s="301" t="str">
        <f t="shared" si="33"/>
        <v>-</v>
      </c>
      <c r="CI20" s="9"/>
      <c r="CL20" s="9"/>
      <c r="CM20" s="380" t="s">
        <v>37</v>
      </c>
      <c r="CN20" s="381"/>
      <c r="CO20" s="382">
        <f>IFERROR(CO18/(MAX(AZ56,AX56,AV56,AS56)-AR56),)</f>
        <v>0</v>
      </c>
      <c r="CP20" s="9"/>
      <c r="CQ20" s="9"/>
      <c r="CR20" s="9"/>
      <c r="CS20" s="9"/>
      <c r="CV20" s="9"/>
      <c r="CW20" s="9"/>
      <c r="CX20" s="9"/>
      <c r="CY20" s="9"/>
      <c r="CZ20" s="9"/>
      <c r="DA20" s="9"/>
      <c r="DB20" s="9"/>
      <c r="DC20" s="9"/>
      <c r="DD20" s="9"/>
      <c r="DE20" s="9"/>
      <c r="DF20" s="9"/>
      <c r="DI20" s="9"/>
      <c r="DJ20" s="484"/>
      <c r="DK20" s="485"/>
      <c r="DL20" s="9" t="str">
        <f t="shared" si="0"/>
        <v>-</v>
      </c>
      <c r="DM20" s="485"/>
      <c r="DN20" s="485"/>
      <c r="DO20" s="279" t="str">
        <f t="shared" si="14"/>
        <v/>
      </c>
      <c r="DP20" s="485"/>
      <c r="DQ20" s="278" t="str">
        <f t="shared" si="15"/>
        <v/>
      </c>
      <c r="DR20" s="9"/>
      <c r="DS20" s="9"/>
      <c r="DT20" s="9"/>
      <c r="DU20" s="9"/>
      <c r="DX20" s="9"/>
      <c r="DY20" s="304" t="s">
        <v>341</v>
      </c>
      <c r="DZ20" s="306" t="s">
        <v>343</v>
      </c>
      <c r="EA20" s="306"/>
      <c r="EB20" s="344">
        <f>J11*EB10</f>
        <v>0</v>
      </c>
      <c r="EC20" s="9"/>
      <c r="ED20" s="9"/>
      <c r="EE20" s="9"/>
      <c r="EF20" s="9"/>
    </row>
    <row r="21" spans="39:146" ht="18.95" customHeight="1" x14ac:dyDescent="0.25">
      <c r="AM21" s="259">
        <v>16</v>
      </c>
      <c r="AN21" s="310" t="str">
        <f t="shared" si="29"/>
        <v>-</v>
      </c>
      <c r="AO21" s="9" t="str">
        <f t="shared" si="16"/>
        <v>-</v>
      </c>
      <c r="AP21" s="289" t="str">
        <f t="shared" si="17"/>
        <v>-</v>
      </c>
      <c r="AQ21" s="9" t="str">
        <f t="shared" si="18"/>
        <v>-</v>
      </c>
      <c r="AR21" s="453"/>
      <c r="AS21" s="453"/>
      <c r="AT21" s="229" t="str">
        <f t="shared" si="19"/>
        <v>-</v>
      </c>
      <c r="AU21" s="290" t="str">
        <f t="shared" si="20"/>
        <v>N/A</v>
      </c>
      <c r="AV21" s="453"/>
      <c r="AW21" s="290" t="str">
        <f t="shared" si="7"/>
        <v>N/A</v>
      </c>
      <c r="AX21" s="453"/>
      <c r="AY21" s="290" t="str">
        <f t="shared" si="21"/>
        <v>N/A</v>
      </c>
      <c r="AZ21" s="453"/>
      <c r="BA21" s="291" t="str">
        <f t="shared" si="22"/>
        <v>N/A</v>
      </c>
      <c r="BB21" s="292" t="str">
        <f t="shared" si="23"/>
        <v>-</v>
      </c>
      <c r="BC21" s="512" t="str">
        <f t="shared" si="24"/>
        <v>-</v>
      </c>
      <c r="BD21" s="293" t="str">
        <f t="shared" si="25"/>
        <v>-</v>
      </c>
      <c r="BE21" s="293" t="str">
        <f t="shared" si="26"/>
        <v>-</v>
      </c>
      <c r="BF21" s="294" t="str">
        <f t="shared" si="27"/>
        <v>-</v>
      </c>
      <c r="BG21" s="9"/>
      <c r="BH21" s="9"/>
      <c r="BI21" s="9"/>
      <c r="BJ21" s="9"/>
      <c r="BZ21" s="9"/>
      <c r="CA21" s="476"/>
      <c r="CB21" s="515">
        <f>IFERROR(VLOOKUP(CA21,Feed!$B$4:$H$19,2,FALSE)*($BR$8/$BQ$8)+VLOOKUP(CA21,Feed!$B$4:$H$19,3,FALSE)*($BS$8/$BQ$8)+VLOOKUP(CA21,Feed!$B$4:$H$19,4,FALSE)*($BT$8/$BQ$8)+VLOOKUP(CA21,Feed!$B$4:$H$19,5,FALSE)*($BU$8/$BQ$8),0)</f>
        <v>0</v>
      </c>
      <c r="CC21" s="299" t="str">
        <f t="shared" si="30"/>
        <v>-</v>
      </c>
      <c r="CD21" s="299" t="str">
        <f t="shared" si="31"/>
        <v>-</v>
      </c>
      <c r="CE21" s="482"/>
      <c r="CF21" s="299" t="str">
        <f t="shared" si="34"/>
        <v>-</v>
      </c>
      <c r="CG21" s="300">
        <f t="shared" si="32"/>
        <v>0</v>
      </c>
      <c r="CH21" s="301" t="str">
        <f t="shared" si="33"/>
        <v>-</v>
      </c>
      <c r="CI21" s="9"/>
      <c r="CL21" s="9"/>
      <c r="CM21" s="380" t="s">
        <v>225</v>
      </c>
      <c r="CN21" s="381"/>
      <c r="CO21" s="388">
        <f>CO10-CG12-CG23-CG34-CG45-CG56</f>
        <v>0</v>
      </c>
      <c r="CP21" s="9"/>
      <c r="CQ21" s="9"/>
      <c r="CR21" s="9"/>
      <c r="CS21" s="9"/>
      <c r="DI21" s="9"/>
      <c r="DJ21" s="484"/>
      <c r="DK21" s="485"/>
      <c r="DL21" s="9" t="str">
        <f t="shared" si="0"/>
        <v>-</v>
      </c>
      <c r="DM21" s="485"/>
      <c r="DN21" s="485"/>
      <c r="DO21" s="279" t="str">
        <f t="shared" si="14"/>
        <v/>
      </c>
      <c r="DP21" s="485"/>
      <c r="DQ21" s="278" t="str">
        <f t="shared" si="15"/>
        <v/>
      </c>
      <c r="DR21" s="9"/>
      <c r="DS21" s="9"/>
      <c r="DT21" s="9"/>
      <c r="DU21" s="9"/>
      <c r="DX21" s="9"/>
      <c r="DY21" s="304" t="s">
        <v>192</v>
      </c>
      <c r="DZ21" s="389"/>
      <c r="EA21" s="9"/>
      <c r="EB21" s="344">
        <f>'Yardage Calculator'!F43*BQ12</f>
        <v>0</v>
      </c>
      <c r="EC21" s="9"/>
      <c r="ED21" s="9"/>
      <c r="EE21" s="9"/>
      <c r="EF21" s="9"/>
    </row>
    <row r="22" spans="39:146" ht="18.95" customHeight="1" x14ac:dyDescent="0.25">
      <c r="AM22" s="259">
        <v>17</v>
      </c>
      <c r="AN22" s="310" t="str">
        <f t="shared" si="29"/>
        <v>-</v>
      </c>
      <c r="AO22" s="9" t="str">
        <f t="shared" si="16"/>
        <v>-</v>
      </c>
      <c r="AP22" s="289" t="str">
        <f t="shared" si="17"/>
        <v>-</v>
      </c>
      <c r="AQ22" s="9" t="str">
        <f t="shared" si="18"/>
        <v>-</v>
      </c>
      <c r="AR22" s="453"/>
      <c r="AS22" s="453"/>
      <c r="AT22" s="229" t="str">
        <f t="shared" si="19"/>
        <v>-</v>
      </c>
      <c r="AU22" s="290" t="str">
        <f t="shared" si="20"/>
        <v>N/A</v>
      </c>
      <c r="AV22" s="453"/>
      <c r="AW22" s="290" t="str">
        <f t="shared" si="7"/>
        <v>N/A</v>
      </c>
      <c r="AX22" s="453"/>
      <c r="AY22" s="290" t="str">
        <f t="shared" si="21"/>
        <v>N/A</v>
      </c>
      <c r="AZ22" s="453"/>
      <c r="BA22" s="291" t="str">
        <f t="shared" si="22"/>
        <v>N/A</v>
      </c>
      <c r="BB22" s="292" t="str">
        <f t="shared" si="23"/>
        <v>-</v>
      </c>
      <c r="BC22" s="512" t="str">
        <f t="shared" si="24"/>
        <v>-</v>
      </c>
      <c r="BD22" s="293" t="str">
        <f t="shared" si="25"/>
        <v>-</v>
      </c>
      <c r="BE22" s="293" t="str">
        <f t="shared" si="26"/>
        <v>-</v>
      </c>
      <c r="BF22" s="294" t="str">
        <f t="shared" si="27"/>
        <v>-</v>
      </c>
      <c r="BG22" s="9"/>
      <c r="BH22" s="9"/>
      <c r="BI22" s="9"/>
      <c r="BJ22" s="9"/>
      <c r="BZ22" s="9"/>
      <c r="CA22" s="476"/>
      <c r="CB22" s="515">
        <f>IFERROR(VLOOKUP(CA22,Feed!$B$4:$H$19,2,FALSE)*($BR$8/$BQ$8)+VLOOKUP(CA22,Feed!$B$4:$H$19,3,FALSE)*($BS$8/$BQ$8)+VLOOKUP(CA22,Feed!$B$4:$H$19,4,FALSE)*($BT$8/$BQ$8)+VLOOKUP(CA22,Feed!$B$4:$H$19,5,FALSE)*($BU$8/$BQ$8),0)</f>
        <v>0</v>
      </c>
      <c r="CC22" s="299" t="str">
        <f t="shared" si="30"/>
        <v>-</v>
      </c>
      <c r="CD22" s="299" t="str">
        <f t="shared" si="31"/>
        <v>-</v>
      </c>
      <c r="CE22" s="482"/>
      <c r="CF22" s="299" t="str">
        <f t="shared" si="34"/>
        <v>-</v>
      </c>
      <c r="CG22" s="300">
        <f t="shared" si="32"/>
        <v>0</v>
      </c>
      <c r="CH22" s="301" t="str">
        <f t="shared" si="33"/>
        <v>-</v>
      </c>
      <c r="CI22" s="9"/>
      <c r="CL22" s="9"/>
      <c r="CM22" s="254" t="s">
        <v>222</v>
      </c>
      <c r="CN22" s="255"/>
      <c r="CO22" s="276">
        <f>(CO10-CO21)*CB61</f>
        <v>0</v>
      </c>
      <c r="CP22" s="9"/>
      <c r="CQ22" s="9"/>
      <c r="CR22" s="9"/>
      <c r="CS22" s="9"/>
      <c r="DI22" s="9"/>
      <c r="DJ22" s="484"/>
      <c r="DK22" s="485"/>
      <c r="DL22" s="9" t="str">
        <f t="shared" si="0"/>
        <v>-</v>
      </c>
      <c r="DM22" s="485"/>
      <c r="DN22" s="485"/>
      <c r="DO22" s="279" t="str">
        <f t="shared" si="14"/>
        <v/>
      </c>
      <c r="DP22" s="485"/>
      <c r="DQ22" s="278" t="str">
        <f t="shared" si="15"/>
        <v/>
      </c>
      <c r="DR22" s="9"/>
      <c r="DS22" s="9"/>
      <c r="DT22" s="9"/>
      <c r="DU22" s="9"/>
      <c r="DX22" s="9"/>
      <c r="DY22" s="304" t="s">
        <v>241</v>
      </c>
      <c r="DZ22" s="306" t="s">
        <v>243</v>
      </c>
      <c r="EA22" s="306"/>
      <c r="EB22" s="344">
        <f>J10</f>
        <v>0</v>
      </c>
      <c r="EC22" s="9"/>
      <c r="ED22" s="9"/>
      <c r="EE22" s="9"/>
      <c r="EF22" s="9"/>
    </row>
    <row r="23" spans="39:146" ht="18.95" customHeight="1" x14ac:dyDescent="0.25">
      <c r="AM23" s="259">
        <v>18</v>
      </c>
      <c r="AN23" s="310" t="str">
        <f t="shared" si="29"/>
        <v>-</v>
      </c>
      <c r="AO23" s="9" t="str">
        <f t="shared" si="16"/>
        <v>-</v>
      </c>
      <c r="AP23" s="289" t="str">
        <f t="shared" si="17"/>
        <v>-</v>
      </c>
      <c r="AQ23" s="9" t="str">
        <f t="shared" si="18"/>
        <v>-</v>
      </c>
      <c r="AR23" s="453"/>
      <c r="AS23" s="453"/>
      <c r="AT23" s="229" t="str">
        <f t="shared" si="19"/>
        <v>-</v>
      </c>
      <c r="AU23" s="290" t="str">
        <f t="shared" si="20"/>
        <v>N/A</v>
      </c>
      <c r="AV23" s="453"/>
      <c r="AW23" s="290" t="str">
        <f t="shared" si="7"/>
        <v>N/A</v>
      </c>
      <c r="AX23" s="453"/>
      <c r="AY23" s="290" t="str">
        <f t="shared" si="21"/>
        <v>N/A</v>
      </c>
      <c r="AZ23" s="453"/>
      <c r="BA23" s="291" t="str">
        <f t="shared" si="22"/>
        <v>N/A</v>
      </c>
      <c r="BB23" s="292" t="str">
        <f t="shared" si="23"/>
        <v>-</v>
      </c>
      <c r="BC23" s="512" t="str">
        <f t="shared" si="24"/>
        <v>-</v>
      </c>
      <c r="BD23" s="293" t="str">
        <f t="shared" si="25"/>
        <v>-</v>
      </c>
      <c r="BE23" s="293" t="str">
        <f t="shared" si="26"/>
        <v>-</v>
      </c>
      <c r="BF23" s="294" t="str">
        <f t="shared" si="27"/>
        <v>-</v>
      </c>
      <c r="BG23" s="9"/>
      <c r="BH23" s="9"/>
      <c r="BI23" s="9"/>
      <c r="BJ23" s="9"/>
      <c r="BZ23" s="9"/>
      <c r="CA23" s="338" t="s">
        <v>330</v>
      </c>
      <c r="CB23" s="516">
        <f>'AUM Evaluator'!$S$9*$CB$61</f>
        <v>78.359787947924048</v>
      </c>
      <c r="CC23" s="299">
        <v>1</v>
      </c>
      <c r="CD23" s="340">
        <v>0</v>
      </c>
      <c r="CE23" s="483"/>
      <c r="CF23" s="341" t="str">
        <f t="shared" si="34"/>
        <v>-</v>
      </c>
      <c r="CG23" s="342">
        <f t="shared" si="32"/>
        <v>0</v>
      </c>
      <c r="CH23" s="343">
        <f t="shared" si="33"/>
        <v>78.359787947924048</v>
      </c>
      <c r="CI23" s="9"/>
      <c r="CJ23" s="390"/>
      <c r="CK23" s="390"/>
      <c r="CL23" s="391"/>
      <c r="CM23" s="392" t="s">
        <v>230</v>
      </c>
      <c r="CN23" s="393"/>
      <c r="CO23" s="394">
        <f>IFERROR(CO22/R15*'AUM Evaluator'!S9,)</f>
        <v>0</v>
      </c>
      <c r="CP23" s="391"/>
      <c r="CQ23" s="391"/>
      <c r="CR23" s="391"/>
      <c r="CS23" s="391"/>
      <c r="CT23" s="390"/>
      <c r="CU23" s="390"/>
      <c r="DG23" s="390"/>
      <c r="DH23" s="390"/>
      <c r="DI23" s="9"/>
      <c r="DJ23" s="484"/>
      <c r="DK23" s="485"/>
      <c r="DL23" s="9" t="str">
        <f t="shared" si="0"/>
        <v>-</v>
      </c>
      <c r="DM23" s="485"/>
      <c r="DN23" s="485"/>
      <c r="DO23" s="279" t="str">
        <f t="shared" si="14"/>
        <v/>
      </c>
      <c r="DP23" s="485"/>
      <c r="DQ23" s="278" t="str">
        <f t="shared" si="15"/>
        <v/>
      </c>
      <c r="DR23" s="9"/>
      <c r="DS23" s="9"/>
      <c r="DT23" s="9"/>
      <c r="DU23" s="9"/>
      <c r="DV23" s="390"/>
      <c r="DW23" s="390"/>
      <c r="DX23" s="9"/>
      <c r="DY23" s="395" t="s">
        <v>240</v>
      </c>
      <c r="DZ23" s="306"/>
      <c r="EA23" s="306"/>
      <c r="EB23" s="344">
        <f>IFERROR(SUM(EB12,EB13,EB14:EB22)*J8*(BQ12/365),)</f>
        <v>0</v>
      </c>
      <c r="EC23" s="9"/>
      <c r="ED23" s="9"/>
      <c r="EE23" s="9"/>
      <c r="EF23" s="9"/>
    </row>
    <row r="24" spans="39:146" ht="18.95" customHeight="1" x14ac:dyDescent="0.25">
      <c r="AM24" s="259">
        <v>19</v>
      </c>
      <c r="AN24" s="310" t="str">
        <f t="shared" si="29"/>
        <v>-</v>
      </c>
      <c r="AO24" s="9" t="str">
        <f t="shared" si="16"/>
        <v>-</v>
      </c>
      <c r="AP24" s="289" t="str">
        <f t="shared" si="17"/>
        <v>-</v>
      </c>
      <c r="AQ24" s="9" t="str">
        <f t="shared" si="18"/>
        <v>-</v>
      </c>
      <c r="AR24" s="453"/>
      <c r="AS24" s="453"/>
      <c r="AT24" s="229" t="str">
        <f t="shared" si="19"/>
        <v>-</v>
      </c>
      <c r="AU24" s="290" t="str">
        <f t="shared" si="20"/>
        <v>N/A</v>
      </c>
      <c r="AV24" s="453"/>
      <c r="AW24" s="290" t="str">
        <f t="shared" si="7"/>
        <v>N/A</v>
      </c>
      <c r="AX24" s="453"/>
      <c r="AY24" s="290" t="str">
        <f t="shared" si="21"/>
        <v>N/A</v>
      </c>
      <c r="AZ24" s="453"/>
      <c r="BA24" s="291" t="str">
        <f t="shared" si="22"/>
        <v>N/A</v>
      </c>
      <c r="BB24" s="292" t="str">
        <f t="shared" si="23"/>
        <v>-</v>
      </c>
      <c r="BC24" s="512" t="str">
        <f t="shared" si="24"/>
        <v>-</v>
      </c>
      <c r="BD24" s="293" t="str">
        <f t="shared" si="25"/>
        <v>-</v>
      </c>
      <c r="BE24" s="293" t="str">
        <f t="shared" si="26"/>
        <v>-</v>
      </c>
      <c r="BF24" s="294" t="str">
        <f t="shared" si="27"/>
        <v>-</v>
      </c>
      <c r="BG24" s="9"/>
      <c r="BH24" s="9"/>
      <c r="BI24" s="9"/>
      <c r="BJ24" s="9"/>
      <c r="BZ24" s="9"/>
      <c r="CA24" s="348"/>
      <c r="CB24" s="349"/>
      <c r="CC24" s="350" t="s">
        <v>58</v>
      </c>
      <c r="CD24" s="351"/>
      <c r="CE24" s="352">
        <f>SUM(CE17:CE23)</f>
        <v>0</v>
      </c>
      <c r="CF24" s="353">
        <f>SUM(CF17:CF23)</f>
        <v>0</v>
      </c>
      <c r="CG24" s="352">
        <f t="shared" si="32"/>
        <v>0</v>
      </c>
      <c r="CH24" s="354"/>
      <c r="CI24" s="9"/>
      <c r="CL24" s="9"/>
      <c r="CM24" s="9"/>
      <c r="CN24" s="9"/>
      <c r="CO24" s="9"/>
      <c r="CP24" s="9"/>
      <c r="CQ24" s="9"/>
      <c r="CR24" s="9"/>
      <c r="CS24" s="9"/>
      <c r="DI24" s="9"/>
      <c r="DJ24" s="484"/>
      <c r="DK24" s="485"/>
      <c r="DL24" s="9" t="str">
        <f t="shared" si="0"/>
        <v>-</v>
      </c>
      <c r="DM24" s="485"/>
      <c r="DN24" s="485"/>
      <c r="DO24" s="279" t="str">
        <f t="shared" si="14"/>
        <v/>
      </c>
      <c r="DP24" s="485"/>
      <c r="DQ24" s="278" t="str">
        <f t="shared" si="15"/>
        <v/>
      </c>
      <c r="DR24" s="9"/>
      <c r="DS24" s="9"/>
      <c r="DT24" s="9"/>
      <c r="DU24" s="9"/>
      <c r="DX24" s="9"/>
      <c r="DY24" s="396"/>
      <c r="DZ24" s="626" t="s">
        <v>128</v>
      </c>
      <c r="EA24" s="626"/>
      <c r="EB24" s="397">
        <f>SUM(EB12:EB23)</f>
        <v>0</v>
      </c>
      <c r="EC24" s="9"/>
      <c r="ED24" s="9"/>
      <c r="EE24" s="9"/>
      <c r="EF24" s="9"/>
    </row>
    <row r="25" spans="39:146" ht="18.95" customHeight="1" thickBot="1" x14ac:dyDescent="0.3">
      <c r="AM25" s="259">
        <v>20</v>
      </c>
      <c r="AN25" s="310" t="str">
        <f t="shared" si="29"/>
        <v>-</v>
      </c>
      <c r="AO25" s="9" t="str">
        <f t="shared" si="16"/>
        <v>-</v>
      </c>
      <c r="AP25" s="289" t="str">
        <f t="shared" si="17"/>
        <v>-</v>
      </c>
      <c r="AQ25" s="9" t="str">
        <f t="shared" si="18"/>
        <v>-</v>
      </c>
      <c r="AR25" s="453"/>
      <c r="AS25" s="453"/>
      <c r="AT25" s="229" t="str">
        <f t="shared" si="19"/>
        <v>-</v>
      </c>
      <c r="AU25" s="290" t="str">
        <f t="shared" si="20"/>
        <v>N/A</v>
      </c>
      <c r="AV25" s="453"/>
      <c r="AW25" s="293" t="str">
        <f t="shared" si="7"/>
        <v>N/A</v>
      </c>
      <c r="AX25" s="453"/>
      <c r="AY25" s="290" t="str">
        <f t="shared" si="21"/>
        <v>N/A</v>
      </c>
      <c r="AZ25" s="453"/>
      <c r="BA25" s="291" t="str">
        <f t="shared" si="22"/>
        <v>N/A</v>
      </c>
      <c r="BB25" s="292" t="str">
        <f t="shared" si="23"/>
        <v>-</v>
      </c>
      <c r="BC25" s="512" t="str">
        <f t="shared" si="24"/>
        <v>-</v>
      </c>
      <c r="BD25" s="293" t="str">
        <f t="shared" si="25"/>
        <v>-</v>
      </c>
      <c r="BE25" s="293" t="str">
        <f t="shared" si="26"/>
        <v>-</v>
      </c>
      <c r="BF25" s="294" t="str">
        <f t="shared" si="27"/>
        <v>-</v>
      </c>
      <c r="BG25" s="9"/>
      <c r="BH25" s="9"/>
      <c r="BI25" s="9"/>
      <c r="BJ25" s="9"/>
      <c r="BZ25" s="9"/>
      <c r="CA25" s="363"/>
      <c r="CB25" s="364"/>
      <c r="CC25" s="365"/>
      <c r="CD25" s="366" t="s">
        <v>208</v>
      </c>
      <c r="CE25" s="366"/>
      <c r="CF25" s="367"/>
      <c r="CG25" s="367"/>
      <c r="CH25" s="368">
        <f>SUMPRODUCT(CF17:CF23,CH17:CH23,CC17:CC23)</f>
        <v>0</v>
      </c>
      <c r="CI25" s="9"/>
      <c r="CL25" s="9"/>
      <c r="CM25" s="9"/>
      <c r="CN25" s="9"/>
      <c r="CO25" s="9"/>
      <c r="CP25" s="9"/>
      <c r="CQ25" s="9"/>
      <c r="CR25" s="9"/>
      <c r="CS25" s="9"/>
      <c r="DI25" s="9"/>
      <c r="DJ25" s="484"/>
      <c r="DK25" s="485"/>
      <c r="DL25" s="9" t="str">
        <f t="shared" si="0"/>
        <v>-</v>
      </c>
      <c r="DM25" s="485"/>
      <c r="DN25" s="485"/>
      <c r="DO25" s="279" t="str">
        <f t="shared" si="14"/>
        <v/>
      </c>
      <c r="DP25" s="485"/>
      <c r="DQ25" s="278" t="str">
        <f t="shared" si="15"/>
        <v/>
      </c>
      <c r="DR25" s="9"/>
      <c r="DS25" s="9"/>
      <c r="DT25" s="9"/>
      <c r="DU25" s="9"/>
      <c r="DX25" s="9"/>
      <c r="DY25" s="384"/>
      <c r="DZ25" s="627" t="s">
        <v>372</v>
      </c>
      <c r="EA25" s="627" t="s">
        <v>137</v>
      </c>
      <c r="EB25" s="398">
        <f>EB10-EB24</f>
        <v>0</v>
      </c>
      <c r="EC25" s="9"/>
      <c r="ED25" s="9"/>
      <c r="EE25" s="9"/>
      <c r="EF25" s="9"/>
    </row>
    <row r="26" spans="39:146" ht="18.95" customHeight="1" thickBot="1" x14ac:dyDescent="0.3">
      <c r="AM26" s="259">
        <v>21</v>
      </c>
      <c r="AN26" s="310" t="str">
        <f t="shared" si="29"/>
        <v>-</v>
      </c>
      <c r="AO26" s="9" t="str">
        <f t="shared" si="16"/>
        <v>-</v>
      </c>
      <c r="AP26" s="289" t="str">
        <f t="shared" si="17"/>
        <v>-</v>
      </c>
      <c r="AQ26" s="9" t="str">
        <f t="shared" si="18"/>
        <v>-</v>
      </c>
      <c r="AR26" s="453"/>
      <c r="AS26" s="453"/>
      <c r="AT26" s="229" t="str">
        <f t="shared" si="19"/>
        <v>-</v>
      </c>
      <c r="AU26" s="290" t="str">
        <f t="shared" si="20"/>
        <v>N/A</v>
      </c>
      <c r="AV26" s="453"/>
      <c r="AW26" s="290" t="str">
        <f t="shared" si="7"/>
        <v>N/A</v>
      </c>
      <c r="AX26" s="453"/>
      <c r="AY26" s="290" t="str">
        <f t="shared" si="21"/>
        <v>N/A</v>
      </c>
      <c r="AZ26" s="453"/>
      <c r="BA26" s="291" t="str">
        <f t="shared" si="22"/>
        <v>N/A</v>
      </c>
      <c r="BB26" s="292" t="str">
        <f t="shared" si="23"/>
        <v>-</v>
      </c>
      <c r="BC26" s="512" t="str">
        <f t="shared" si="24"/>
        <v>-</v>
      </c>
      <c r="BD26" s="293" t="str">
        <f t="shared" si="25"/>
        <v>-</v>
      </c>
      <c r="BE26" s="293" t="str">
        <f t="shared" si="26"/>
        <v>-</v>
      </c>
      <c r="BF26" s="294" t="str">
        <f t="shared" si="27"/>
        <v>-</v>
      </c>
      <c r="BG26" s="9"/>
      <c r="BH26" s="9"/>
      <c r="BI26" s="9"/>
      <c r="BJ26" s="9"/>
      <c r="BZ26" s="9"/>
      <c r="CA26" s="9"/>
      <c r="CB26" s="9"/>
      <c r="CC26" s="9"/>
      <c r="CD26" s="9"/>
      <c r="CE26" s="9"/>
      <c r="CF26" s="9"/>
      <c r="CG26" s="9"/>
      <c r="CH26" s="9"/>
      <c r="CI26" s="9"/>
      <c r="CM26" s="390"/>
      <c r="CN26" s="390"/>
      <c r="CO26" s="390"/>
      <c r="DI26" s="9"/>
      <c r="DJ26" s="484"/>
      <c r="DK26" s="485"/>
      <c r="DL26" s="9" t="str">
        <f t="shared" si="0"/>
        <v>-</v>
      </c>
      <c r="DM26" s="485"/>
      <c r="DN26" s="485"/>
      <c r="DO26" s="279" t="str">
        <f t="shared" si="14"/>
        <v/>
      </c>
      <c r="DP26" s="485"/>
      <c r="DQ26" s="278" t="str">
        <f t="shared" si="15"/>
        <v/>
      </c>
      <c r="DR26" s="9"/>
      <c r="DS26" s="9"/>
      <c r="DT26" s="9"/>
      <c r="DU26" s="9"/>
      <c r="DX26" s="9"/>
      <c r="DY26" s="166"/>
      <c r="DZ26" s="166"/>
      <c r="EA26" s="166"/>
      <c r="EB26" s="166"/>
      <c r="EC26" s="9"/>
      <c r="ED26" s="9"/>
      <c r="EE26" s="9"/>
      <c r="EF26" s="9"/>
    </row>
    <row r="27" spans="39:146" ht="31.5" x14ac:dyDescent="0.25">
      <c r="AM27" s="259">
        <v>22</v>
      </c>
      <c r="AN27" s="310" t="str">
        <f t="shared" si="29"/>
        <v>-</v>
      </c>
      <c r="AO27" s="9" t="str">
        <f t="shared" si="16"/>
        <v>-</v>
      </c>
      <c r="AP27" s="289" t="str">
        <f t="shared" si="17"/>
        <v>-</v>
      </c>
      <c r="AQ27" s="9" t="str">
        <f t="shared" si="18"/>
        <v>-</v>
      </c>
      <c r="AR27" s="453"/>
      <c r="AS27" s="453"/>
      <c r="AT27" s="229" t="str">
        <f t="shared" si="19"/>
        <v>-</v>
      </c>
      <c r="AU27" s="290" t="str">
        <f t="shared" si="20"/>
        <v>N/A</v>
      </c>
      <c r="AV27" s="453"/>
      <c r="AW27" s="290" t="str">
        <f t="shared" si="7"/>
        <v>N/A</v>
      </c>
      <c r="AX27" s="453"/>
      <c r="AY27" s="290" t="str">
        <f t="shared" si="21"/>
        <v>N/A</v>
      </c>
      <c r="AZ27" s="453"/>
      <c r="BA27" s="291" t="str">
        <f t="shared" si="22"/>
        <v>N/A</v>
      </c>
      <c r="BB27" s="292" t="str">
        <f t="shared" si="23"/>
        <v>-</v>
      </c>
      <c r="BC27" s="512" t="str">
        <f t="shared" si="24"/>
        <v>-</v>
      </c>
      <c r="BD27" s="293" t="str">
        <f t="shared" si="25"/>
        <v>-</v>
      </c>
      <c r="BE27" s="293" t="str">
        <f t="shared" si="26"/>
        <v>-</v>
      </c>
      <c r="BF27" s="294" t="str">
        <f t="shared" si="27"/>
        <v>-</v>
      </c>
      <c r="BG27" s="9"/>
      <c r="BH27" s="9"/>
      <c r="BI27" s="9"/>
      <c r="BJ27" s="9"/>
      <c r="BZ27" s="9"/>
      <c r="CA27" s="273" t="str">
        <f>IF(BN9=BN17,"-",BN9)</f>
        <v>-</v>
      </c>
      <c r="CB27" s="54" t="s">
        <v>328</v>
      </c>
      <c r="CC27" s="54" t="s">
        <v>205</v>
      </c>
      <c r="CD27" s="54" t="s">
        <v>95</v>
      </c>
      <c r="CE27" s="54" t="s">
        <v>326</v>
      </c>
      <c r="CF27" s="54" t="s">
        <v>206</v>
      </c>
      <c r="CG27" s="54" t="s">
        <v>234</v>
      </c>
      <c r="CH27" s="274" t="s">
        <v>209</v>
      </c>
      <c r="CI27" s="9"/>
      <c r="DI27" s="9"/>
      <c r="DJ27" s="484"/>
      <c r="DK27" s="485"/>
      <c r="DL27" s="9" t="str">
        <f t="shared" si="0"/>
        <v>-</v>
      </c>
      <c r="DM27" s="485"/>
      <c r="DN27" s="485"/>
      <c r="DO27" s="279" t="str">
        <f t="shared" si="14"/>
        <v/>
      </c>
      <c r="DP27" s="485"/>
      <c r="DQ27" s="278" t="str">
        <f t="shared" si="15"/>
        <v/>
      </c>
      <c r="DR27" s="9"/>
      <c r="DS27" s="9"/>
      <c r="DT27" s="9"/>
      <c r="DU27" s="9"/>
      <c r="DY27" s="183"/>
      <c r="DZ27" s="183"/>
      <c r="EA27" s="183"/>
      <c r="EB27" s="183"/>
    </row>
    <row r="28" spans="39:146" ht="18.95" customHeight="1" x14ac:dyDescent="0.25">
      <c r="AM28" s="259">
        <v>23</v>
      </c>
      <c r="AN28" s="310" t="str">
        <f t="shared" si="29"/>
        <v>-</v>
      </c>
      <c r="AO28" s="9" t="str">
        <f t="shared" si="16"/>
        <v>-</v>
      </c>
      <c r="AP28" s="289" t="str">
        <f t="shared" si="17"/>
        <v>-</v>
      </c>
      <c r="AQ28" s="9" t="str">
        <f t="shared" si="18"/>
        <v>-</v>
      </c>
      <c r="AR28" s="453"/>
      <c r="AS28" s="453"/>
      <c r="AT28" s="229" t="str">
        <f t="shared" si="19"/>
        <v>-</v>
      </c>
      <c r="AU28" s="290" t="str">
        <f t="shared" si="20"/>
        <v>N/A</v>
      </c>
      <c r="AV28" s="453"/>
      <c r="AW28" s="290" t="str">
        <f t="shared" si="7"/>
        <v>N/A</v>
      </c>
      <c r="AX28" s="453"/>
      <c r="AY28" s="290" t="str">
        <f t="shared" si="21"/>
        <v>N/A</v>
      </c>
      <c r="AZ28" s="453"/>
      <c r="BA28" s="291" t="str">
        <f t="shared" si="22"/>
        <v>N/A</v>
      </c>
      <c r="BB28" s="292" t="str">
        <f t="shared" si="23"/>
        <v>-</v>
      </c>
      <c r="BC28" s="512" t="str">
        <f t="shared" si="24"/>
        <v>-</v>
      </c>
      <c r="BD28" s="293" t="str">
        <f t="shared" si="25"/>
        <v>-</v>
      </c>
      <c r="BE28" s="293" t="str">
        <f t="shared" si="26"/>
        <v>-</v>
      </c>
      <c r="BF28" s="294" t="str">
        <f t="shared" si="27"/>
        <v>-</v>
      </c>
      <c r="BG28" s="9"/>
      <c r="BH28" s="9"/>
      <c r="BI28" s="9"/>
      <c r="BJ28" s="9"/>
      <c r="BZ28" s="9"/>
      <c r="CA28" s="476"/>
      <c r="CB28" s="515">
        <f>IFERROR(VLOOKUP(CA28,Feed!$B$4:$H$19,2,FALSE)*($BR$9/$BQ$9)+VLOOKUP(CA28,Feed!$B$4:$H$19,3,FALSE)*($BS$9/$BQ$9)+VLOOKUP(CA28,Feed!$B$4:$H$19,4,FALSE)*($BT$9/$BQ$9)+VLOOKUP(CA28,Feed!$B$4:$H$19,5,FALSE)*($BU$9/$BQ$9),0)</f>
        <v>0</v>
      </c>
      <c r="CC28" s="299" t="str">
        <f t="shared" ref="CC28:CC33" si="35">IFERROR(VLOOKUP($CA28,FeedIngLst,6,FALSE),"-")</f>
        <v>-</v>
      </c>
      <c r="CD28" s="299" t="str">
        <f t="shared" ref="CD28:CD33" si="36">IFERROR(VLOOKUP($CA28,FeedIngLst,7,FALSE),"-")</f>
        <v>-</v>
      </c>
      <c r="CE28" s="482"/>
      <c r="CF28" s="299" t="str">
        <f>IFERROR(CE28/$CE$35,"-")</f>
        <v>-</v>
      </c>
      <c r="CG28" s="300">
        <f t="shared" ref="CG28:CG35" si="37">CE28*$R$15*$BQ$9/2000</f>
        <v>0</v>
      </c>
      <c r="CH28" s="301" t="str">
        <f t="shared" ref="CH28:CH34" si="38">IFERROR($CB28/$CC28/(1-$CD28),"-")</f>
        <v>-</v>
      </c>
      <c r="CI28" s="9"/>
      <c r="DI28" s="9"/>
      <c r="DJ28" s="484"/>
      <c r="DK28" s="485"/>
      <c r="DL28" s="9" t="str">
        <f t="shared" si="0"/>
        <v>-</v>
      </c>
      <c r="DM28" s="485"/>
      <c r="DN28" s="485"/>
      <c r="DO28" s="279" t="str">
        <f t="shared" si="14"/>
        <v/>
      </c>
      <c r="DP28" s="485"/>
      <c r="DQ28" s="278" t="str">
        <f t="shared" si="15"/>
        <v/>
      </c>
      <c r="DR28" s="9"/>
      <c r="DS28" s="9"/>
      <c r="DT28" s="9"/>
      <c r="DU28" s="9"/>
      <c r="DY28" s="183"/>
      <c r="DZ28" s="183"/>
      <c r="EA28" s="183"/>
      <c r="EB28" s="183"/>
    </row>
    <row r="29" spans="39:146" ht="18.95" customHeight="1" x14ac:dyDescent="0.25">
      <c r="AM29" s="259">
        <v>24</v>
      </c>
      <c r="AN29" s="310" t="str">
        <f t="shared" si="29"/>
        <v>-</v>
      </c>
      <c r="AO29" s="9" t="str">
        <f t="shared" si="16"/>
        <v>-</v>
      </c>
      <c r="AP29" s="289" t="str">
        <f t="shared" si="17"/>
        <v>-</v>
      </c>
      <c r="AQ29" s="9" t="str">
        <f t="shared" si="18"/>
        <v>-</v>
      </c>
      <c r="AR29" s="453"/>
      <c r="AS29" s="453"/>
      <c r="AT29" s="229" t="str">
        <f t="shared" si="19"/>
        <v>-</v>
      </c>
      <c r="AU29" s="290" t="str">
        <f t="shared" si="20"/>
        <v>N/A</v>
      </c>
      <c r="AV29" s="453"/>
      <c r="AW29" s="290" t="str">
        <f t="shared" si="7"/>
        <v>N/A</v>
      </c>
      <c r="AX29" s="453"/>
      <c r="AY29" s="290" t="str">
        <f t="shared" si="21"/>
        <v>N/A</v>
      </c>
      <c r="AZ29" s="453"/>
      <c r="BA29" s="291" t="str">
        <f t="shared" si="22"/>
        <v>N/A</v>
      </c>
      <c r="BB29" s="292" t="str">
        <f t="shared" si="23"/>
        <v>-</v>
      </c>
      <c r="BC29" s="512" t="str">
        <f t="shared" si="24"/>
        <v>-</v>
      </c>
      <c r="BD29" s="293" t="str">
        <f t="shared" si="25"/>
        <v>-</v>
      </c>
      <c r="BE29" s="293" t="str">
        <f t="shared" si="26"/>
        <v>-</v>
      </c>
      <c r="BF29" s="294" t="str">
        <f t="shared" si="27"/>
        <v>-</v>
      </c>
      <c r="BG29" s="9"/>
      <c r="BH29" s="9"/>
      <c r="BI29" s="9"/>
      <c r="BJ29" s="9"/>
      <c r="BZ29" s="9"/>
      <c r="CA29" s="476"/>
      <c r="CB29" s="515">
        <f>IFERROR(VLOOKUP(CA29,Feed!$B$4:$H$19,2,FALSE)*($BR$9/$BQ$9)+VLOOKUP(CA29,Feed!$B$4:$H$19,3,FALSE)*($BS$9/$BQ$9)+VLOOKUP(CA29,Feed!$B$4:$H$19,4,FALSE)*($BT$9/$BQ$9)+VLOOKUP(CA29,Feed!$B$4:$H$19,5,FALSE)*($BU$9/$BQ$9),0)</f>
        <v>0</v>
      </c>
      <c r="CC29" s="299" t="str">
        <f t="shared" si="35"/>
        <v>-</v>
      </c>
      <c r="CD29" s="299" t="str">
        <f t="shared" si="36"/>
        <v>-</v>
      </c>
      <c r="CE29" s="482"/>
      <c r="CF29" s="299" t="str">
        <f t="shared" ref="CF29:CF34" si="39">IFERROR(CE29/$CE$35,"-")</f>
        <v>-</v>
      </c>
      <c r="CG29" s="300">
        <f t="shared" si="37"/>
        <v>0</v>
      </c>
      <c r="CH29" s="301" t="str">
        <f t="shared" si="38"/>
        <v>-</v>
      </c>
      <c r="CI29" s="9"/>
      <c r="DI29" s="9"/>
      <c r="DJ29" s="486"/>
      <c r="DK29" s="473"/>
      <c r="DL29" s="399" t="str">
        <f t="shared" si="0"/>
        <v>-</v>
      </c>
      <c r="DM29" s="473"/>
      <c r="DN29" s="473"/>
      <c r="DO29" s="400" t="str">
        <f t="shared" si="14"/>
        <v/>
      </c>
      <c r="DP29" s="473"/>
      <c r="DQ29" s="383" t="str">
        <f t="shared" si="15"/>
        <v/>
      </c>
      <c r="DR29" s="9"/>
      <c r="DS29" s="9"/>
      <c r="DT29" s="9"/>
      <c r="DU29" s="9"/>
      <c r="DY29" s="183"/>
      <c r="DZ29" s="183"/>
      <c r="EA29" s="183"/>
      <c r="EB29" s="183"/>
    </row>
    <row r="30" spans="39:146" ht="18.95" customHeight="1" thickBot="1" x14ac:dyDescent="0.3">
      <c r="AM30" s="259">
        <v>25</v>
      </c>
      <c r="AN30" s="310" t="str">
        <f t="shared" si="29"/>
        <v>-</v>
      </c>
      <c r="AO30" s="9" t="str">
        <f t="shared" si="16"/>
        <v>-</v>
      </c>
      <c r="AP30" s="289" t="str">
        <f t="shared" si="17"/>
        <v>-</v>
      </c>
      <c r="AQ30" s="9" t="str">
        <f t="shared" si="18"/>
        <v>-</v>
      </c>
      <c r="AR30" s="453"/>
      <c r="AS30" s="453"/>
      <c r="AT30" s="229" t="str">
        <f t="shared" si="19"/>
        <v>-</v>
      </c>
      <c r="AU30" s="290" t="str">
        <f t="shared" si="20"/>
        <v>N/A</v>
      </c>
      <c r="AV30" s="453"/>
      <c r="AW30" s="290" t="str">
        <f t="shared" si="7"/>
        <v>N/A</v>
      </c>
      <c r="AX30" s="453"/>
      <c r="AY30" s="290" t="str">
        <f t="shared" si="21"/>
        <v>N/A</v>
      </c>
      <c r="AZ30" s="453"/>
      <c r="BA30" s="291" t="str">
        <f t="shared" si="22"/>
        <v>N/A</v>
      </c>
      <c r="BB30" s="292" t="str">
        <f t="shared" si="23"/>
        <v>-</v>
      </c>
      <c r="BC30" s="512" t="str">
        <f t="shared" si="24"/>
        <v>-</v>
      </c>
      <c r="BD30" s="293" t="str">
        <f t="shared" si="25"/>
        <v>-</v>
      </c>
      <c r="BE30" s="293" t="str">
        <f t="shared" si="26"/>
        <v>-</v>
      </c>
      <c r="BF30" s="294" t="str">
        <f t="shared" si="27"/>
        <v>-</v>
      </c>
      <c r="BG30" s="9"/>
      <c r="BH30" s="9"/>
      <c r="BI30" s="9"/>
      <c r="BJ30" s="9"/>
      <c r="BZ30" s="9"/>
      <c r="CA30" s="476"/>
      <c r="CB30" s="515">
        <f>IFERROR(VLOOKUP(CA30,Feed!$B$4:$H$19,2,FALSE)*($BR$9/$BQ$9)+VLOOKUP(CA30,Feed!$B$4:$H$19,3,FALSE)*($BS$9/$BQ$9)+VLOOKUP(CA30,Feed!$B$4:$H$19,4,FALSE)*($BT$9/$BQ$9)+VLOOKUP(CA30,Feed!$B$4:$H$19,5,FALSE)*($BU$9/$BQ$9),0)</f>
        <v>0</v>
      </c>
      <c r="CC30" s="299" t="str">
        <f t="shared" si="35"/>
        <v>-</v>
      </c>
      <c r="CD30" s="299" t="str">
        <f t="shared" si="36"/>
        <v>-</v>
      </c>
      <c r="CE30" s="482"/>
      <c r="CF30" s="299" t="str">
        <f t="shared" si="39"/>
        <v>-</v>
      </c>
      <c r="CG30" s="300">
        <f t="shared" si="37"/>
        <v>0</v>
      </c>
      <c r="CH30" s="301" t="str">
        <f t="shared" si="38"/>
        <v>-</v>
      </c>
      <c r="CI30" s="9"/>
      <c r="DI30" s="9"/>
      <c r="DJ30" s="384"/>
      <c r="DK30" s="385"/>
      <c r="DL30" s="385"/>
      <c r="DM30" s="385"/>
      <c r="DN30" s="385"/>
      <c r="DO30" s="386" t="s">
        <v>236</v>
      </c>
      <c r="DP30" s="370"/>
      <c r="DQ30" s="387">
        <f>SUM(DQ5:DQ29)</f>
        <v>0</v>
      </c>
      <c r="DR30" s="9"/>
      <c r="DS30" s="9"/>
      <c r="DT30" s="9"/>
      <c r="DU30" s="9"/>
      <c r="DY30" s="183"/>
      <c r="DZ30" s="183"/>
      <c r="EA30" s="183"/>
      <c r="EB30" s="183"/>
    </row>
    <row r="31" spans="39:146" ht="18.95" customHeight="1" x14ac:dyDescent="0.25">
      <c r="AM31" s="259">
        <v>26</v>
      </c>
      <c r="AN31" s="310" t="str">
        <f t="shared" si="29"/>
        <v>-</v>
      </c>
      <c r="AO31" s="9" t="str">
        <f t="shared" si="16"/>
        <v>-</v>
      </c>
      <c r="AP31" s="289" t="str">
        <f t="shared" si="17"/>
        <v>-</v>
      </c>
      <c r="AQ31" s="9" t="str">
        <f t="shared" si="18"/>
        <v>-</v>
      </c>
      <c r="AR31" s="453"/>
      <c r="AS31" s="453"/>
      <c r="AT31" s="229" t="str">
        <f t="shared" si="19"/>
        <v>-</v>
      </c>
      <c r="AU31" s="290" t="str">
        <f t="shared" si="20"/>
        <v>N/A</v>
      </c>
      <c r="AV31" s="453"/>
      <c r="AW31" s="290" t="str">
        <f t="shared" si="7"/>
        <v>N/A</v>
      </c>
      <c r="AX31" s="453"/>
      <c r="AY31" s="290" t="str">
        <f t="shared" si="21"/>
        <v>N/A</v>
      </c>
      <c r="AZ31" s="453"/>
      <c r="BA31" s="291" t="str">
        <f t="shared" si="22"/>
        <v>N/A</v>
      </c>
      <c r="BB31" s="292" t="str">
        <f t="shared" si="23"/>
        <v>-</v>
      </c>
      <c r="BC31" s="512" t="str">
        <f t="shared" si="24"/>
        <v>-</v>
      </c>
      <c r="BD31" s="293" t="str">
        <f t="shared" si="25"/>
        <v>-</v>
      </c>
      <c r="BE31" s="293" t="str">
        <f t="shared" si="26"/>
        <v>-</v>
      </c>
      <c r="BF31" s="294" t="str">
        <f t="shared" si="27"/>
        <v>-</v>
      </c>
      <c r="BG31" s="9"/>
      <c r="BH31" s="9"/>
      <c r="BI31" s="9"/>
      <c r="BJ31" s="9"/>
      <c r="BZ31" s="9"/>
      <c r="CA31" s="476"/>
      <c r="CB31" s="515">
        <f>IFERROR(VLOOKUP(CA31,Feed!$B$4:$H$19,2,FALSE)*($BR$9/$BQ$9)+VLOOKUP(CA31,Feed!$B$4:$H$19,3,FALSE)*($BS$9/$BQ$9)+VLOOKUP(CA31,Feed!$B$4:$H$19,4,FALSE)*($BT$9/$BQ$9)+VLOOKUP(CA31,Feed!$B$4:$H$19,5,FALSE)*($BU$9/$BQ$9),0)</f>
        <v>0</v>
      </c>
      <c r="CC31" s="299" t="str">
        <f t="shared" si="35"/>
        <v>-</v>
      </c>
      <c r="CD31" s="299" t="str">
        <f t="shared" si="36"/>
        <v>-</v>
      </c>
      <c r="CE31" s="482"/>
      <c r="CF31" s="299" t="str">
        <f t="shared" si="39"/>
        <v>-</v>
      </c>
      <c r="CG31" s="300">
        <f t="shared" si="37"/>
        <v>0</v>
      </c>
      <c r="CH31" s="301" t="str">
        <f t="shared" si="38"/>
        <v>-</v>
      </c>
      <c r="CI31" s="9"/>
      <c r="DI31" s="9"/>
      <c r="DJ31" s="9"/>
      <c r="DK31" s="9"/>
      <c r="DL31" s="9"/>
      <c r="DM31" s="9"/>
      <c r="DN31" s="9"/>
      <c r="DO31" s="9"/>
      <c r="DP31" s="9"/>
      <c r="DQ31" s="9"/>
      <c r="DR31" s="9"/>
      <c r="DS31" s="9"/>
      <c r="DT31" s="9"/>
      <c r="DU31" s="9"/>
    </row>
    <row r="32" spans="39:146" ht="18.95" customHeight="1" x14ac:dyDescent="0.25">
      <c r="AM32" s="259">
        <v>27</v>
      </c>
      <c r="AN32" s="310" t="str">
        <f t="shared" si="29"/>
        <v>-</v>
      </c>
      <c r="AO32" s="9" t="str">
        <f t="shared" si="16"/>
        <v>-</v>
      </c>
      <c r="AP32" s="289" t="str">
        <f t="shared" si="17"/>
        <v>-</v>
      </c>
      <c r="AQ32" s="9" t="str">
        <f t="shared" si="18"/>
        <v>-</v>
      </c>
      <c r="AR32" s="453"/>
      <c r="AS32" s="453"/>
      <c r="AT32" s="229" t="str">
        <f t="shared" si="19"/>
        <v>-</v>
      </c>
      <c r="AU32" s="290" t="str">
        <f t="shared" si="20"/>
        <v>N/A</v>
      </c>
      <c r="AV32" s="453"/>
      <c r="AW32" s="290" t="str">
        <f t="shared" si="7"/>
        <v>N/A</v>
      </c>
      <c r="AX32" s="453"/>
      <c r="AY32" s="290" t="str">
        <f t="shared" si="21"/>
        <v>N/A</v>
      </c>
      <c r="AZ32" s="453"/>
      <c r="BA32" s="291" t="str">
        <f t="shared" si="22"/>
        <v>N/A</v>
      </c>
      <c r="BB32" s="292" t="str">
        <f t="shared" si="23"/>
        <v>-</v>
      </c>
      <c r="BC32" s="512" t="str">
        <f t="shared" si="24"/>
        <v>-</v>
      </c>
      <c r="BD32" s="293" t="str">
        <f t="shared" si="25"/>
        <v>-</v>
      </c>
      <c r="BE32" s="293" t="str">
        <f t="shared" si="26"/>
        <v>-</v>
      </c>
      <c r="BF32" s="294" t="str">
        <f t="shared" si="27"/>
        <v>-</v>
      </c>
      <c r="BG32" s="9"/>
      <c r="BH32" s="9"/>
      <c r="BI32" s="9"/>
      <c r="BJ32" s="9"/>
      <c r="BZ32" s="9"/>
      <c r="CA32" s="476"/>
      <c r="CB32" s="515">
        <f>IFERROR(VLOOKUP(CA32,Feed!$B$4:$H$19,2,FALSE)*($BR$9/$BQ$9)+VLOOKUP(CA32,Feed!$B$4:$H$19,3,FALSE)*($BS$9/$BQ$9)+VLOOKUP(CA32,Feed!$B$4:$H$19,4,FALSE)*($BT$9/$BQ$9)+VLOOKUP(CA32,Feed!$B$4:$H$19,5,FALSE)*($BU$9/$BQ$9),0)</f>
        <v>0</v>
      </c>
      <c r="CC32" s="299" t="str">
        <f t="shared" si="35"/>
        <v>-</v>
      </c>
      <c r="CD32" s="299" t="str">
        <f t="shared" si="36"/>
        <v>-</v>
      </c>
      <c r="CE32" s="482"/>
      <c r="CF32" s="299" t="str">
        <f t="shared" si="39"/>
        <v>-</v>
      </c>
      <c r="CG32" s="300">
        <f t="shared" si="37"/>
        <v>0</v>
      </c>
      <c r="CH32" s="301" t="str">
        <f t="shared" si="38"/>
        <v>-</v>
      </c>
      <c r="CI32" s="9"/>
    </row>
    <row r="33" spans="39:87" ht="18.95" customHeight="1" x14ac:dyDescent="0.25">
      <c r="AM33" s="259">
        <v>28</v>
      </c>
      <c r="AN33" s="310" t="str">
        <f t="shared" si="29"/>
        <v>-</v>
      </c>
      <c r="AO33" s="9" t="str">
        <f t="shared" si="16"/>
        <v>-</v>
      </c>
      <c r="AP33" s="289" t="str">
        <f t="shared" si="17"/>
        <v>-</v>
      </c>
      <c r="AQ33" s="9" t="str">
        <f t="shared" si="18"/>
        <v>-</v>
      </c>
      <c r="AR33" s="453"/>
      <c r="AS33" s="453"/>
      <c r="AT33" s="229" t="str">
        <f t="shared" si="19"/>
        <v>-</v>
      </c>
      <c r="AU33" s="290" t="str">
        <f t="shared" si="20"/>
        <v>N/A</v>
      </c>
      <c r="AV33" s="453"/>
      <c r="AW33" s="290" t="str">
        <f t="shared" si="7"/>
        <v>N/A</v>
      </c>
      <c r="AX33" s="453"/>
      <c r="AY33" s="290" t="str">
        <f t="shared" si="21"/>
        <v>N/A</v>
      </c>
      <c r="AZ33" s="453"/>
      <c r="BA33" s="291" t="str">
        <f t="shared" si="22"/>
        <v>N/A</v>
      </c>
      <c r="BB33" s="292" t="str">
        <f t="shared" si="23"/>
        <v>-</v>
      </c>
      <c r="BC33" s="512" t="str">
        <f t="shared" si="24"/>
        <v>-</v>
      </c>
      <c r="BD33" s="293" t="str">
        <f t="shared" si="25"/>
        <v>-</v>
      </c>
      <c r="BE33" s="293" t="str">
        <f t="shared" si="26"/>
        <v>-</v>
      </c>
      <c r="BF33" s="294" t="str">
        <f t="shared" si="27"/>
        <v>-</v>
      </c>
      <c r="BG33" s="9"/>
      <c r="BH33" s="9"/>
      <c r="BI33" s="9"/>
      <c r="BJ33" s="9"/>
      <c r="BZ33" s="9"/>
      <c r="CA33" s="476"/>
      <c r="CB33" s="515">
        <f>IFERROR(VLOOKUP(CA33,Feed!$B$4:$H$19,2,FALSE)*($BR$9/$BQ$9)+VLOOKUP(CA33,Feed!$B$4:$H$19,3,FALSE)*($BS$9/$BQ$9)+VLOOKUP(CA33,Feed!$B$4:$H$19,4,FALSE)*($BT$9/$BQ$9)+VLOOKUP(CA33,Feed!$B$4:$H$19,5,FALSE)*($BU$9/$BQ$9),0)</f>
        <v>0</v>
      </c>
      <c r="CC33" s="299" t="str">
        <f t="shared" si="35"/>
        <v>-</v>
      </c>
      <c r="CD33" s="299" t="str">
        <f t="shared" si="36"/>
        <v>-</v>
      </c>
      <c r="CE33" s="482"/>
      <c r="CF33" s="299" t="str">
        <f t="shared" si="39"/>
        <v>-</v>
      </c>
      <c r="CG33" s="300">
        <f t="shared" si="37"/>
        <v>0</v>
      </c>
      <c r="CH33" s="301" t="str">
        <f t="shared" si="38"/>
        <v>-</v>
      </c>
      <c r="CI33" s="9"/>
    </row>
    <row r="34" spans="39:87" ht="18.95" customHeight="1" x14ac:dyDescent="0.25">
      <c r="AM34" s="259">
        <v>29</v>
      </c>
      <c r="AN34" s="310" t="str">
        <f t="shared" si="29"/>
        <v>-</v>
      </c>
      <c r="AO34" s="9" t="str">
        <f t="shared" si="16"/>
        <v>-</v>
      </c>
      <c r="AP34" s="289" t="str">
        <f t="shared" si="17"/>
        <v>-</v>
      </c>
      <c r="AQ34" s="9" t="str">
        <f t="shared" si="18"/>
        <v>-</v>
      </c>
      <c r="AR34" s="453"/>
      <c r="AS34" s="453"/>
      <c r="AT34" s="229" t="str">
        <f t="shared" si="19"/>
        <v>-</v>
      </c>
      <c r="AU34" s="290" t="str">
        <f t="shared" si="20"/>
        <v>N/A</v>
      </c>
      <c r="AV34" s="453"/>
      <c r="AW34" s="290" t="str">
        <f t="shared" si="7"/>
        <v>N/A</v>
      </c>
      <c r="AX34" s="453"/>
      <c r="AY34" s="290" t="str">
        <f t="shared" si="21"/>
        <v>N/A</v>
      </c>
      <c r="AZ34" s="453"/>
      <c r="BA34" s="291" t="str">
        <f t="shared" si="22"/>
        <v>N/A</v>
      </c>
      <c r="BB34" s="292" t="str">
        <f t="shared" si="23"/>
        <v>-</v>
      </c>
      <c r="BC34" s="512" t="str">
        <f t="shared" si="24"/>
        <v>-</v>
      </c>
      <c r="BD34" s="293" t="str">
        <f t="shared" si="25"/>
        <v>-</v>
      </c>
      <c r="BE34" s="293" t="str">
        <f t="shared" si="26"/>
        <v>-</v>
      </c>
      <c r="BF34" s="294" t="str">
        <f t="shared" si="27"/>
        <v>-</v>
      </c>
      <c r="BG34" s="9"/>
      <c r="BH34" s="9"/>
      <c r="BI34" s="9"/>
      <c r="BJ34" s="9"/>
      <c r="BZ34" s="9"/>
      <c r="CA34" s="338" t="s">
        <v>330</v>
      </c>
      <c r="CB34" s="516">
        <f>'AUM Evaluator'!$S$9*$CB$61</f>
        <v>78.359787947924048</v>
      </c>
      <c r="CC34" s="299">
        <v>1</v>
      </c>
      <c r="CD34" s="340">
        <v>0</v>
      </c>
      <c r="CE34" s="483"/>
      <c r="CF34" s="341" t="str">
        <f t="shared" si="39"/>
        <v>-</v>
      </c>
      <c r="CG34" s="342">
        <f t="shared" si="37"/>
        <v>0</v>
      </c>
      <c r="CH34" s="343">
        <f t="shared" si="38"/>
        <v>78.359787947924048</v>
      </c>
      <c r="CI34" s="9"/>
    </row>
    <row r="35" spans="39:87" ht="18.95" customHeight="1" x14ac:dyDescent="0.25">
      <c r="AM35" s="259">
        <v>30</v>
      </c>
      <c r="AN35" s="310" t="str">
        <f t="shared" si="29"/>
        <v>-</v>
      </c>
      <c r="AO35" s="9" t="str">
        <f t="shared" si="16"/>
        <v>-</v>
      </c>
      <c r="AP35" s="289" t="str">
        <f t="shared" si="17"/>
        <v>-</v>
      </c>
      <c r="AQ35" s="9" t="str">
        <f t="shared" si="18"/>
        <v>-</v>
      </c>
      <c r="AR35" s="453"/>
      <c r="AS35" s="453"/>
      <c r="AT35" s="229" t="str">
        <f t="shared" si="19"/>
        <v>-</v>
      </c>
      <c r="AU35" s="290" t="str">
        <f t="shared" si="20"/>
        <v>N/A</v>
      </c>
      <c r="AV35" s="453"/>
      <c r="AW35" s="290" t="str">
        <f t="shared" si="7"/>
        <v>N/A</v>
      </c>
      <c r="AX35" s="453"/>
      <c r="AY35" s="290" t="str">
        <f t="shared" si="21"/>
        <v>N/A</v>
      </c>
      <c r="AZ35" s="453"/>
      <c r="BA35" s="291" t="str">
        <f t="shared" si="22"/>
        <v>N/A</v>
      </c>
      <c r="BB35" s="292" t="str">
        <f t="shared" si="23"/>
        <v>-</v>
      </c>
      <c r="BC35" s="512" t="str">
        <f t="shared" si="24"/>
        <v>-</v>
      </c>
      <c r="BD35" s="293" t="str">
        <f t="shared" si="25"/>
        <v>-</v>
      </c>
      <c r="BE35" s="293" t="str">
        <f t="shared" si="26"/>
        <v>-</v>
      </c>
      <c r="BF35" s="294" t="str">
        <f t="shared" si="27"/>
        <v>-</v>
      </c>
      <c r="BG35" s="9"/>
      <c r="BH35" s="9"/>
      <c r="BI35" s="9"/>
      <c r="BJ35" s="9"/>
      <c r="BZ35" s="9"/>
      <c r="CA35" s="348"/>
      <c r="CB35" s="349"/>
      <c r="CC35" s="350" t="s">
        <v>58</v>
      </c>
      <c r="CD35" s="351"/>
      <c r="CE35" s="352">
        <f>SUM(CE28:CE34)</f>
        <v>0</v>
      </c>
      <c r="CF35" s="353">
        <f>SUM(CF28:CF34)</f>
        <v>0</v>
      </c>
      <c r="CG35" s="352">
        <f t="shared" si="37"/>
        <v>0</v>
      </c>
      <c r="CH35" s="354"/>
      <c r="CI35" s="9"/>
    </row>
    <row r="36" spans="39:87" ht="18.95" customHeight="1" thickBot="1" x14ac:dyDescent="0.3">
      <c r="AM36" s="259">
        <v>31</v>
      </c>
      <c r="AN36" s="310" t="str">
        <f t="shared" si="29"/>
        <v>-</v>
      </c>
      <c r="AO36" s="9" t="str">
        <f t="shared" si="16"/>
        <v>-</v>
      </c>
      <c r="AP36" s="289" t="str">
        <f t="shared" si="17"/>
        <v>-</v>
      </c>
      <c r="AQ36" s="9" t="str">
        <f t="shared" si="18"/>
        <v>-</v>
      </c>
      <c r="AR36" s="453"/>
      <c r="AS36" s="453"/>
      <c r="AT36" s="229" t="str">
        <f t="shared" si="19"/>
        <v>-</v>
      </c>
      <c r="AU36" s="290" t="str">
        <f t="shared" si="20"/>
        <v>N/A</v>
      </c>
      <c r="AV36" s="453"/>
      <c r="AW36" s="290" t="str">
        <f t="shared" si="7"/>
        <v>N/A</v>
      </c>
      <c r="AX36" s="453"/>
      <c r="AY36" s="290" t="str">
        <f t="shared" si="21"/>
        <v>N/A</v>
      </c>
      <c r="AZ36" s="453"/>
      <c r="BA36" s="291" t="str">
        <f t="shared" si="22"/>
        <v>N/A</v>
      </c>
      <c r="BB36" s="292" t="str">
        <f t="shared" si="23"/>
        <v>-</v>
      </c>
      <c r="BC36" s="512" t="str">
        <f t="shared" si="24"/>
        <v>-</v>
      </c>
      <c r="BD36" s="293" t="str">
        <f t="shared" si="25"/>
        <v>-</v>
      </c>
      <c r="BE36" s="293" t="str">
        <f t="shared" si="26"/>
        <v>-</v>
      </c>
      <c r="BF36" s="294" t="str">
        <f t="shared" si="27"/>
        <v>-</v>
      </c>
      <c r="BG36" s="9"/>
      <c r="BH36" s="9"/>
      <c r="BI36" s="9"/>
      <c r="BJ36" s="9"/>
      <c r="BZ36" s="9"/>
      <c r="CA36" s="363"/>
      <c r="CB36" s="364"/>
      <c r="CC36" s="365"/>
      <c r="CD36" s="366" t="s">
        <v>208</v>
      </c>
      <c r="CE36" s="366"/>
      <c r="CF36" s="367"/>
      <c r="CG36" s="367"/>
      <c r="CH36" s="368">
        <f>SUMPRODUCT(CF28:CF34,CH28:CH34,CC28:CC34)</f>
        <v>0</v>
      </c>
      <c r="CI36" s="9"/>
    </row>
    <row r="37" spans="39:87" ht="18.95" customHeight="1" thickBot="1" x14ac:dyDescent="0.3">
      <c r="AM37" s="259">
        <v>32</v>
      </c>
      <c r="AN37" s="310" t="str">
        <f t="shared" si="29"/>
        <v>-</v>
      </c>
      <c r="AO37" s="9" t="str">
        <f t="shared" si="16"/>
        <v>-</v>
      </c>
      <c r="AP37" s="289" t="str">
        <f t="shared" si="17"/>
        <v>-</v>
      </c>
      <c r="AQ37" s="9" t="str">
        <f t="shared" si="18"/>
        <v>-</v>
      </c>
      <c r="AR37" s="453"/>
      <c r="AS37" s="453"/>
      <c r="AT37" s="229" t="str">
        <f t="shared" si="19"/>
        <v>-</v>
      </c>
      <c r="AU37" s="290" t="str">
        <f t="shared" si="20"/>
        <v>N/A</v>
      </c>
      <c r="AV37" s="453"/>
      <c r="AW37" s="290" t="str">
        <f t="shared" si="7"/>
        <v>N/A</v>
      </c>
      <c r="AX37" s="453"/>
      <c r="AY37" s="290" t="str">
        <f t="shared" si="21"/>
        <v>N/A</v>
      </c>
      <c r="AZ37" s="453"/>
      <c r="BA37" s="291" t="str">
        <f t="shared" si="22"/>
        <v>N/A</v>
      </c>
      <c r="BB37" s="292" t="str">
        <f t="shared" si="23"/>
        <v>-</v>
      </c>
      <c r="BC37" s="512" t="str">
        <f t="shared" si="24"/>
        <v>-</v>
      </c>
      <c r="BD37" s="293" t="str">
        <f t="shared" si="25"/>
        <v>-</v>
      </c>
      <c r="BE37" s="293" t="str">
        <f t="shared" si="26"/>
        <v>-</v>
      </c>
      <c r="BF37" s="294" t="str">
        <f t="shared" si="27"/>
        <v>-</v>
      </c>
      <c r="BG37" s="9"/>
      <c r="BH37" s="9"/>
      <c r="BI37" s="9"/>
      <c r="BJ37" s="9"/>
      <c r="BZ37" s="9"/>
      <c r="CA37" s="9"/>
      <c r="CB37" s="9"/>
      <c r="CC37" s="9"/>
      <c r="CD37" s="9"/>
      <c r="CE37" s="9"/>
      <c r="CF37" s="9"/>
      <c r="CG37" s="9"/>
      <c r="CH37" s="9"/>
      <c r="CI37" s="9"/>
    </row>
    <row r="38" spans="39:87" ht="31.5" x14ac:dyDescent="0.25">
      <c r="AM38" s="259">
        <v>33</v>
      </c>
      <c r="AN38" s="310" t="str">
        <f t="shared" si="29"/>
        <v>-</v>
      </c>
      <c r="AO38" s="9" t="str">
        <f t="shared" si="16"/>
        <v>-</v>
      </c>
      <c r="AP38" s="289" t="str">
        <f t="shared" si="17"/>
        <v>-</v>
      </c>
      <c r="AQ38" s="9" t="str">
        <f t="shared" si="18"/>
        <v>-</v>
      </c>
      <c r="AR38" s="453"/>
      <c r="AS38" s="453"/>
      <c r="AT38" s="229" t="str">
        <f t="shared" si="19"/>
        <v>-</v>
      </c>
      <c r="AU38" s="290" t="str">
        <f t="shared" si="20"/>
        <v>N/A</v>
      </c>
      <c r="AV38" s="453"/>
      <c r="AW38" s="290" t="str">
        <f t="shared" si="7"/>
        <v>N/A</v>
      </c>
      <c r="AX38" s="453"/>
      <c r="AY38" s="290" t="str">
        <f t="shared" si="21"/>
        <v>N/A</v>
      </c>
      <c r="AZ38" s="453"/>
      <c r="BA38" s="291" t="str">
        <f t="shared" si="22"/>
        <v>N/A</v>
      </c>
      <c r="BB38" s="292" t="str">
        <f t="shared" si="23"/>
        <v>-</v>
      </c>
      <c r="BC38" s="512" t="str">
        <f t="shared" si="24"/>
        <v>-</v>
      </c>
      <c r="BD38" s="293" t="str">
        <f t="shared" si="25"/>
        <v>-</v>
      </c>
      <c r="BE38" s="293" t="str">
        <f t="shared" si="26"/>
        <v>-</v>
      </c>
      <c r="BF38" s="294" t="str">
        <f t="shared" si="27"/>
        <v>-</v>
      </c>
      <c r="BG38" s="9"/>
      <c r="BH38" s="9"/>
      <c r="BI38" s="9"/>
      <c r="BJ38" s="9"/>
      <c r="BZ38" s="9"/>
      <c r="CA38" s="273" t="str">
        <f>IF(BN10=BN17,"-",BN10)</f>
        <v>-</v>
      </c>
      <c r="CB38" s="54" t="s">
        <v>328</v>
      </c>
      <c r="CC38" s="54" t="s">
        <v>205</v>
      </c>
      <c r="CD38" s="54" t="s">
        <v>95</v>
      </c>
      <c r="CE38" s="54" t="s">
        <v>326</v>
      </c>
      <c r="CF38" s="54" t="s">
        <v>206</v>
      </c>
      <c r="CG38" s="54" t="s">
        <v>234</v>
      </c>
      <c r="CH38" s="274" t="s">
        <v>209</v>
      </c>
      <c r="CI38" s="9"/>
    </row>
    <row r="39" spans="39:87" ht="18.95" customHeight="1" x14ac:dyDescent="0.25">
      <c r="AM39" s="259">
        <v>34</v>
      </c>
      <c r="AN39" s="310" t="str">
        <f t="shared" si="29"/>
        <v>-</v>
      </c>
      <c r="AO39" s="9" t="str">
        <f t="shared" si="16"/>
        <v>-</v>
      </c>
      <c r="AP39" s="289" t="str">
        <f t="shared" si="17"/>
        <v>-</v>
      </c>
      <c r="AQ39" s="9" t="str">
        <f t="shared" si="18"/>
        <v>-</v>
      </c>
      <c r="AR39" s="453"/>
      <c r="AS39" s="453"/>
      <c r="AT39" s="229" t="str">
        <f t="shared" si="19"/>
        <v>-</v>
      </c>
      <c r="AU39" s="290" t="str">
        <f t="shared" si="20"/>
        <v>N/A</v>
      </c>
      <c r="AV39" s="453"/>
      <c r="AW39" s="290" t="str">
        <f t="shared" si="7"/>
        <v>N/A</v>
      </c>
      <c r="AX39" s="453"/>
      <c r="AY39" s="290" t="str">
        <f t="shared" si="21"/>
        <v>N/A</v>
      </c>
      <c r="AZ39" s="453"/>
      <c r="BA39" s="291" t="str">
        <f t="shared" si="22"/>
        <v>N/A</v>
      </c>
      <c r="BB39" s="292" t="str">
        <f t="shared" si="23"/>
        <v>-</v>
      </c>
      <c r="BC39" s="512" t="str">
        <f t="shared" si="24"/>
        <v>-</v>
      </c>
      <c r="BD39" s="293" t="str">
        <f t="shared" si="25"/>
        <v>-</v>
      </c>
      <c r="BE39" s="293" t="str">
        <f t="shared" si="26"/>
        <v>-</v>
      </c>
      <c r="BF39" s="294" t="str">
        <f t="shared" si="27"/>
        <v>-</v>
      </c>
      <c r="BG39" s="9"/>
      <c r="BH39" s="9"/>
      <c r="BI39" s="9"/>
      <c r="BJ39" s="9"/>
      <c r="BZ39" s="9"/>
      <c r="CA39" s="476"/>
      <c r="CB39" s="515">
        <f>IFERROR(VLOOKUP(CA39,Feed!$B$4:$H$19,2,FALSE)*($BR$10/$BQ$10)+VLOOKUP(CA39,Feed!$B$4:$H$19,3,FALSE)*($BS$10/$BQ$10)+VLOOKUP(CA39,Feed!$B$4:$H$19,4,FALSE)*($BT$10/$BQ$10)+VLOOKUP(CA39,Feed!$B$4:$H$19,5,FALSE)*($BU$10/$BQ$10),0)</f>
        <v>0</v>
      </c>
      <c r="CC39" s="299" t="str">
        <f t="shared" ref="CC39:CC44" si="40">IFERROR(VLOOKUP($CA39,FeedIngLst,6,FALSE),"-")</f>
        <v>-</v>
      </c>
      <c r="CD39" s="299" t="str">
        <f t="shared" ref="CD39:CD44" si="41">IFERROR(VLOOKUP($CA39,FeedIngLst,7,FALSE),"-")</f>
        <v>-</v>
      </c>
      <c r="CE39" s="482"/>
      <c r="CF39" s="299" t="str">
        <f>IFERROR(CE39/$CE$46,"-")</f>
        <v>-</v>
      </c>
      <c r="CG39" s="300">
        <f t="shared" ref="CG39:CG46" si="42">CE39*$R$15*$BQ$10/2000</f>
        <v>0</v>
      </c>
      <c r="CH39" s="301" t="str">
        <f t="shared" ref="CH39:CH45" si="43">IFERROR($CB39/$CC39/(1-$CD39),"-")</f>
        <v>-</v>
      </c>
      <c r="CI39" s="9"/>
    </row>
    <row r="40" spans="39:87" ht="18.95" customHeight="1" x14ac:dyDescent="0.25">
      <c r="AM40" s="259">
        <v>35</v>
      </c>
      <c r="AN40" s="310" t="str">
        <f t="shared" si="29"/>
        <v>-</v>
      </c>
      <c r="AO40" s="9" t="str">
        <f t="shared" si="16"/>
        <v>-</v>
      </c>
      <c r="AP40" s="289" t="str">
        <f t="shared" si="17"/>
        <v>-</v>
      </c>
      <c r="AQ40" s="9" t="str">
        <f t="shared" si="18"/>
        <v>-</v>
      </c>
      <c r="AR40" s="453"/>
      <c r="AS40" s="453"/>
      <c r="AT40" s="229" t="str">
        <f t="shared" si="19"/>
        <v>-</v>
      </c>
      <c r="AU40" s="290" t="str">
        <f t="shared" si="20"/>
        <v>N/A</v>
      </c>
      <c r="AV40" s="453"/>
      <c r="AW40" s="290" t="str">
        <f t="shared" si="7"/>
        <v>N/A</v>
      </c>
      <c r="AX40" s="453"/>
      <c r="AY40" s="290" t="str">
        <f t="shared" si="21"/>
        <v>N/A</v>
      </c>
      <c r="AZ40" s="453"/>
      <c r="BA40" s="291" t="str">
        <f t="shared" si="22"/>
        <v>N/A</v>
      </c>
      <c r="BB40" s="292" t="str">
        <f t="shared" si="23"/>
        <v>-</v>
      </c>
      <c r="BC40" s="512" t="str">
        <f t="shared" si="24"/>
        <v>-</v>
      </c>
      <c r="BD40" s="293" t="str">
        <f t="shared" si="25"/>
        <v>-</v>
      </c>
      <c r="BE40" s="293" t="str">
        <f t="shared" si="26"/>
        <v>-</v>
      </c>
      <c r="BF40" s="294" t="str">
        <f t="shared" si="27"/>
        <v>-</v>
      </c>
      <c r="BG40" s="9"/>
      <c r="BH40" s="9"/>
      <c r="BI40" s="9"/>
      <c r="BJ40" s="9"/>
      <c r="BZ40" s="9"/>
      <c r="CA40" s="476"/>
      <c r="CB40" s="515">
        <f>IFERROR(VLOOKUP(CA40,Feed!$B$4:$H$19,2,FALSE)*($BR$10/$BQ$10)+VLOOKUP(CA40,Feed!$B$4:$H$19,3,FALSE)*($BS$10/$BQ$10)+VLOOKUP(CA40,Feed!$B$4:$H$19,4,FALSE)*($BT$10/$BQ$10)+VLOOKUP(CA40,Feed!$B$4:$H$19,5,FALSE)*($BU$10/$BQ$10),0)</f>
        <v>0</v>
      </c>
      <c r="CC40" s="299" t="str">
        <f t="shared" si="40"/>
        <v>-</v>
      </c>
      <c r="CD40" s="299" t="str">
        <f t="shared" si="41"/>
        <v>-</v>
      </c>
      <c r="CE40" s="482"/>
      <c r="CF40" s="299" t="str">
        <f t="shared" ref="CF40:CF45" si="44">IFERROR(CE40/$CE$46,"-")</f>
        <v>-</v>
      </c>
      <c r="CG40" s="300">
        <f t="shared" si="42"/>
        <v>0</v>
      </c>
      <c r="CH40" s="301" t="str">
        <f t="shared" si="43"/>
        <v>-</v>
      </c>
      <c r="CI40" s="9"/>
    </row>
    <row r="41" spans="39:87" ht="18.95" customHeight="1" x14ac:dyDescent="0.25">
      <c r="AM41" s="259">
        <v>36</v>
      </c>
      <c r="AN41" s="310" t="str">
        <f t="shared" si="29"/>
        <v>-</v>
      </c>
      <c r="AO41" s="9" t="str">
        <f t="shared" si="16"/>
        <v>-</v>
      </c>
      <c r="AP41" s="289" t="str">
        <f t="shared" si="17"/>
        <v>-</v>
      </c>
      <c r="AQ41" s="9" t="str">
        <f t="shared" si="18"/>
        <v>-</v>
      </c>
      <c r="AR41" s="453"/>
      <c r="AS41" s="453"/>
      <c r="AT41" s="229" t="str">
        <f t="shared" si="19"/>
        <v>-</v>
      </c>
      <c r="AU41" s="290" t="str">
        <f t="shared" si="20"/>
        <v>N/A</v>
      </c>
      <c r="AV41" s="453"/>
      <c r="AW41" s="290" t="str">
        <f t="shared" si="7"/>
        <v>N/A</v>
      </c>
      <c r="AX41" s="453"/>
      <c r="AY41" s="290" t="str">
        <f t="shared" si="21"/>
        <v>N/A</v>
      </c>
      <c r="AZ41" s="453"/>
      <c r="BA41" s="291" t="str">
        <f t="shared" si="22"/>
        <v>N/A</v>
      </c>
      <c r="BB41" s="292" t="str">
        <f t="shared" si="23"/>
        <v>-</v>
      </c>
      <c r="BC41" s="512" t="str">
        <f t="shared" si="24"/>
        <v>-</v>
      </c>
      <c r="BD41" s="293" t="str">
        <f t="shared" si="25"/>
        <v>-</v>
      </c>
      <c r="BE41" s="293" t="str">
        <f t="shared" si="26"/>
        <v>-</v>
      </c>
      <c r="BF41" s="294" t="str">
        <f t="shared" si="27"/>
        <v>-</v>
      </c>
      <c r="BG41" s="9"/>
      <c r="BH41" s="9"/>
      <c r="BI41" s="9"/>
      <c r="BJ41" s="9"/>
      <c r="BZ41" s="9"/>
      <c r="CA41" s="476"/>
      <c r="CB41" s="515">
        <f>IFERROR(VLOOKUP(CA41,Feed!$B$4:$H$19,2,FALSE)*($BR$10/$BQ$10)+VLOOKUP(CA41,Feed!$B$4:$H$19,3,FALSE)*($BS$10/$BQ$10)+VLOOKUP(CA41,Feed!$B$4:$H$19,4,FALSE)*($BT$10/$BQ$10)+VLOOKUP(CA41,Feed!$B$4:$H$19,5,FALSE)*($BU$10/$BQ$10),0)</f>
        <v>0</v>
      </c>
      <c r="CC41" s="299" t="str">
        <f t="shared" si="40"/>
        <v>-</v>
      </c>
      <c r="CD41" s="299" t="str">
        <f t="shared" si="41"/>
        <v>-</v>
      </c>
      <c r="CE41" s="482"/>
      <c r="CF41" s="299" t="str">
        <f t="shared" si="44"/>
        <v>-</v>
      </c>
      <c r="CG41" s="300">
        <f t="shared" si="42"/>
        <v>0</v>
      </c>
      <c r="CH41" s="301" t="str">
        <f t="shared" si="43"/>
        <v>-</v>
      </c>
      <c r="CI41" s="9"/>
    </row>
    <row r="42" spans="39:87" ht="18.95" customHeight="1" x14ac:dyDescent="0.25">
      <c r="AM42" s="259">
        <v>37</v>
      </c>
      <c r="AN42" s="310" t="str">
        <f t="shared" si="29"/>
        <v>-</v>
      </c>
      <c r="AO42" s="9" t="str">
        <f t="shared" si="16"/>
        <v>-</v>
      </c>
      <c r="AP42" s="289" t="str">
        <f t="shared" si="17"/>
        <v>-</v>
      </c>
      <c r="AQ42" s="9" t="str">
        <f t="shared" si="18"/>
        <v>-</v>
      </c>
      <c r="AR42" s="453"/>
      <c r="AS42" s="453"/>
      <c r="AT42" s="229" t="str">
        <f t="shared" si="19"/>
        <v>-</v>
      </c>
      <c r="AU42" s="290" t="str">
        <f t="shared" si="20"/>
        <v>N/A</v>
      </c>
      <c r="AV42" s="453"/>
      <c r="AW42" s="290" t="str">
        <f t="shared" si="7"/>
        <v>N/A</v>
      </c>
      <c r="AX42" s="453"/>
      <c r="AY42" s="290" t="str">
        <f t="shared" si="21"/>
        <v>N/A</v>
      </c>
      <c r="AZ42" s="453"/>
      <c r="BA42" s="291" t="str">
        <f t="shared" si="22"/>
        <v>N/A</v>
      </c>
      <c r="BB42" s="292" t="str">
        <f t="shared" si="23"/>
        <v>-</v>
      </c>
      <c r="BC42" s="512" t="str">
        <f t="shared" si="24"/>
        <v>-</v>
      </c>
      <c r="BD42" s="293" t="str">
        <f t="shared" si="25"/>
        <v>-</v>
      </c>
      <c r="BE42" s="293" t="str">
        <f t="shared" si="26"/>
        <v>-</v>
      </c>
      <c r="BF42" s="294" t="str">
        <f t="shared" si="27"/>
        <v>-</v>
      </c>
      <c r="BG42" s="9"/>
      <c r="BH42" s="9"/>
      <c r="BI42" s="9"/>
      <c r="BJ42" s="9"/>
      <c r="BZ42" s="9"/>
      <c r="CA42" s="476"/>
      <c r="CB42" s="515">
        <f>IFERROR(VLOOKUP(CA42,Feed!$B$4:$H$19,2,FALSE)*($BR$10/$BQ$10)+VLOOKUP(CA42,Feed!$B$4:$H$19,3,FALSE)*($BS$10/$BQ$10)+VLOOKUP(CA42,Feed!$B$4:$H$19,4,FALSE)*($BT$10/$BQ$10)+VLOOKUP(CA42,Feed!$B$4:$H$19,5,FALSE)*($BU$10/$BQ$10),0)</f>
        <v>0</v>
      </c>
      <c r="CC42" s="299" t="str">
        <f t="shared" si="40"/>
        <v>-</v>
      </c>
      <c r="CD42" s="299" t="str">
        <f t="shared" si="41"/>
        <v>-</v>
      </c>
      <c r="CE42" s="482"/>
      <c r="CF42" s="299" t="str">
        <f t="shared" si="44"/>
        <v>-</v>
      </c>
      <c r="CG42" s="300">
        <f t="shared" si="42"/>
        <v>0</v>
      </c>
      <c r="CH42" s="301" t="str">
        <f t="shared" si="43"/>
        <v>-</v>
      </c>
      <c r="CI42" s="9"/>
    </row>
    <row r="43" spans="39:87" ht="18.95" customHeight="1" x14ac:dyDescent="0.25">
      <c r="AM43" s="259">
        <v>38</v>
      </c>
      <c r="AN43" s="310" t="str">
        <f t="shared" si="29"/>
        <v>-</v>
      </c>
      <c r="AO43" s="9" t="str">
        <f t="shared" si="16"/>
        <v>-</v>
      </c>
      <c r="AP43" s="289" t="str">
        <f t="shared" si="17"/>
        <v>-</v>
      </c>
      <c r="AQ43" s="9" t="str">
        <f t="shared" si="18"/>
        <v>-</v>
      </c>
      <c r="AR43" s="453"/>
      <c r="AS43" s="453"/>
      <c r="AT43" s="229" t="str">
        <f t="shared" si="19"/>
        <v>-</v>
      </c>
      <c r="AU43" s="290" t="str">
        <f t="shared" si="20"/>
        <v>N/A</v>
      </c>
      <c r="AV43" s="453"/>
      <c r="AW43" s="290" t="str">
        <f t="shared" si="7"/>
        <v>N/A</v>
      </c>
      <c r="AX43" s="453"/>
      <c r="AY43" s="290" t="str">
        <f t="shared" si="21"/>
        <v>N/A</v>
      </c>
      <c r="AZ43" s="453"/>
      <c r="BA43" s="291" t="str">
        <f t="shared" si="22"/>
        <v>N/A</v>
      </c>
      <c r="BB43" s="292" t="str">
        <f t="shared" si="23"/>
        <v>-</v>
      </c>
      <c r="BC43" s="512" t="str">
        <f t="shared" si="24"/>
        <v>-</v>
      </c>
      <c r="BD43" s="293" t="str">
        <f t="shared" si="25"/>
        <v>-</v>
      </c>
      <c r="BE43" s="293" t="str">
        <f t="shared" si="26"/>
        <v>-</v>
      </c>
      <c r="BF43" s="294" t="str">
        <f t="shared" si="27"/>
        <v>-</v>
      </c>
      <c r="BG43" s="9"/>
      <c r="BH43" s="9"/>
      <c r="BI43" s="9"/>
      <c r="BJ43" s="9"/>
      <c r="BZ43" s="9"/>
      <c r="CA43" s="476"/>
      <c r="CB43" s="515">
        <f>IFERROR(VLOOKUP(CA43,Feed!$B$4:$H$19,2,FALSE)*($BR$10/$BQ$10)+VLOOKUP(CA43,Feed!$B$4:$H$19,3,FALSE)*($BS$10/$BQ$10)+VLOOKUP(CA43,Feed!$B$4:$H$19,4,FALSE)*($BT$10/$BQ$10)+VLOOKUP(CA43,Feed!$B$4:$H$19,5,FALSE)*($BU$10/$BQ$10),0)</f>
        <v>0</v>
      </c>
      <c r="CC43" s="299" t="str">
        <f t="shared" si="40"/>
        <v>-</v>
      </c>
      <c r="CD43" s="299" t="str">
        <f t="shared" si="41"/>
        <v>-</v>
      </c>
      <c r="CE43" s="482"/>
      <c r="CF43" s="299" t="str">
        <f t="shared" si="44"/>
        <v>-</v>
      </c>
      <c r="CG43" s="300">
        <f t="shared" si="42"/>
        <v>0</v>
      </c>
      <c r="CH43" s="301" t="str">
        <f t="shared" si="43"/>
        <v>-</v>
      </c>
      <c r="CI43" s="9"/>
    </row>
    <row r="44" spans="39:87" ht="18.95" customHeight="1" x14ac:dyDescent="0.25">
      <c r="AM44" s="259">
        <v>39</v>
      </c>
      <c r="AN44" s="310" t="str">
        <f t="shared" si="29"/>
        <v>-</v>
      </c>
      <c r="AO44" s="9" t="str">
        <f t="shared" si="16"/>
        <v>-</v>
      </c>
      <c r="AP44" s="289" t="str">
        <f t="shared" si="17"/>
        <v>-</v>
      </c>
      <c r="AQ44" s="9" t="str">
        <f t="shared" si="18"/>
        <v>-</v>
      </c>
      <c r="AR44" s="453"/>
      <c r="AS44" s="453"/>
      <c r="AT44" s="229" t="str">
        <f t="shared" si="19"/>
        <v>-</v>
      </c>
      <c r="AU44" s="290" t="str">
        <f t="shared" si="20"/>
        <v>N/A</v>
      </c>
      <c r="AV44" s="453"/>
      <c r="AW44" s="290" t="str">
        <f t="shared" si="7"/>
        <v>N/A</v>
      </c>
      <c r="AX44" s="453"/>
      <c r="AY44" s="290" t="str">
        <f t="shared" si="21"/>
        <v>N/A</v>
      </c>
      <c r="AZ44" s="453"/>
      <c r="BA44" s="291" t="str">
        <f t="shared" si="22"/>
        <v>N/A</v>
      </c>
      <c r="BB44" s="292" t="str">
        <f t="shared" si="23"/>
        <v>-</v>
      </c>
      <c r="BC44" s="512" t="str">
        <f t="shared" si="24"/>
        <v>-</v>
      </c>
      <c r="BD44" s="293" t="str">
        <f t="shared" si="25"/>
        <v>-</v>
      </c>
      <c r="BE44" s="293" t="str">
        <f t="shared" si="26"/>
        <v>-</v>
      </c>
      <c r="BF44" s="294" t="str">
        <f t="shared" si="27"/>
        <v>-</v>
      </c>
      <c r="BG44" s="9"/>
      <c r="BH44" s="9"/>
      <c r="BI44" s="9"/>
      <c r="BJ44" s="9"/>
      <c r="BZ44" s="9"/>
      <c r="CA44" s="476"/>
      <c r="CB44" s="515">
        <f>IFERROR(VLOOKUP(CA44,Feed!$B$4:$H$19,2,FALSE)*($BR$10/$BQ$10)+VLOOKUP(CA44,Feed!$B$4:$H$19,3,FALSE)*($BS$10/$BQ$10)+VLOOKUP(CA44,Feed!$B$4:$H$19,4,FALSE)*($BT$10/$BQ$10)+VLOOKUP(CA44,Feed!$B$4:$H$19,5,FALSE)*($BU$10/$BQ$10),0)</f>
        <v>0</v>
      </c>
      <c r="CC44" s="299" t="str">
        <f t="shared" si="40"/>
        <v>-</v>
      </c>
      <c r="CD44" s="299" t="str">
        <f t="shared" si="41"/>
        <v>-</v>
      </c>
      <c r="CE44" s="482"/>
      <c r="CF44" s="299" t="str">
        <f t="shared" si="44"/>
        <v>-</v>
      </c>
      <c r="CG44" s="300">
        <f t="shared" si="42"/>
        <v>0</v>
      </c>
      <c r="CH44" s="301" t="str">
        <f t="shared" si="43"/>
        <v>-</v>
      </c>
      <c r="CI44" s="9"/>
    </row>
    <row r="45" spans="39:87" ht="18.95" customHeight="1" x14ac:dyDescent="0.25">
      <c r="AM45" s="259">
        <v>40</v>
      </c>
      <c r="AN45" s="310" t="str">
        <f t="shared" si="29"/>
        <v>-</v>
      </c>
      <c r="AO45" s="9" t="str">
        <f t="shared" si="16"/>
        <v>-</v>
      </c>
      <c r="AP45" s="289" t="str">
        <f t="shared" si="17"/>
        <v>-</v>
      </c>
      <c r="AQ45" s="9" t="str">
        <f t="shared" si="18"/>
        <v>-</v>
      </c>
      <c r="AR45" s="453"/>
      <c r="AS45" s="453"/>
      <c r="AT45" s="229" t="str">
        <f t="shared" si="19"/>
        <v>-</v>
      </c>
      <c r="AU45" s="290" t="str">
        <f t="shared" si="20"/>
        <v>N/A</v>
      </c>
      <c r="AV45" s="453"/>
      <c r="AW45" s="290" t="str">
        <f t="shared" si="7"/>
        <v>N/A</v>
      </c>
      <c r="AX45" s="453"/>
      <c r="AY45" s="290" t="str">
        <f t="shared" si="21"/>
        <v>N/A</v>
      </c>
      <c r="AZ45" s="453"/>
      <c r="BA45" s="291" t="str">
        <f t="shared" si="22"/>
        <v>N/A</v>
      </c>
      <c r="BB45" s="292" t="str">
        <f t="shared" si="23"/>
        <v>-</v>
      </c>
      <c r="BC45" s="512" t="str">
        <f t="shared" si="24"/>
        <v>-</v>
      </c>
      <c r="BD45" s="293" t="str">
        <f t="shared" si="25"/>
        <v>-</v>
      </c>
      <c r="BE45" s="293" t="str">
        <f t="shared" si="26"/>
        <v>-</v>
      </c>
      <c r="BF45" s="294" t="str">
        <f t="shared" si="27"/>
        <v>-</v>
      </c>
      <c r="BG45" s="9"/>
      <c r="BH45" s="9"/>
      <c r="BI45" s="9"/>
      <c r="BJ45" s="9"/>
      <c r="BZ45" s="9"/>
      <c r="CA45" s="338" t="s">
        <v>330</v>
      </c>
      <c r="CB45" s="516">
        <f>'AUM Evaluator'!$S$9*$CB$61</f>
        <v>78.359787947924048</v>
      </c>
      <c r="CC45" s="299">
        <v>1</v>
      </c>
      <c r="CD45" s="340">
        <v>0</v>
      </c>
      <c r="CE45" s="483"/>
      <c r="CF45" s="341" t="str">
        <f t="shared" si="44"/>
        <v>-</v>
      </c>
      <c r="CG45" s="342">
        <f t="shared" si="42"/>
        <v>0</v>
      </c>
      <c r="CH45" s="343">
        <f t="shared" si="43"/>
        <v>78.359787947924048</v>
      </c>
      <c r="CI45" s="9"/>
    </row>
    <row r="46" spans="39:87" ht="18.95" customHeight="1" x14ac:dyDescent="0.25">
      <c r="AM46" s="259">
        <v>41</v>
      </c>
      <c r="AN46" s="310" t="str">
        <f t="shared" si="29"/>
        <v>-</v>
      </c>
      <c r="AO46" s="9" t="str">
        <f t="shared" si="16"/>
        <v>-</v>
      </c>
      <c r="AP46" s="289" t="str">
        <f t="shared" si="17"/>
        <v>-</v>
      </c>
      <c r="AQ46" s="9" t="str">
        <f t="shared" si="18"/>
        <v>-</v>
      </c>
      <c r="AR46" s="453"/>
      <c r="AS46" s="453"/>
      <c r="AT46" s="229" t="str">
        <f t="shared" si="19"/>
        <v>-</v>
      </c>
      <c r="AU46" s="290" t="str">
        <f t="shared" si="20"/>
        <v>N/A</v>
      </c>
      <c r="AV46" s="453"/>
      <c r="AW46" s="290" t="str">
        <f t="shared" si="7"/>
        <v>N/A</v>
      </c>
      <c r="AX46" s="453"/>
      <c r="AY46" s="290" t="str">
        <f t="shared" si="21"/>
        <v>N/A</v>
      </c>
      <c r="AZ46" s="453"/>
      <c r="BA46" s="291" t="str">
        <f t="shared" si="22"/>
        <v>N/A</v>
      </c>
      <c r="BB46" s="292" t="str">
        <f t="shared" si="23"/>
        <v>-</v>
      </c>
      <c r="BC46" s="512" t="str">
        <f t="shared" si="24"/>
        <v>-</v>
      </c>
      <c r="BD46" s="293" t="str">
        <f t="shared" si="25"/>
        <v>-</v>
      </c>
      <c r="BE46" s="293" t="str">
        <f t="shared" si="26"/>
        <v>-</v>
      </c>
      <c r="BF46" s="294" t="str">
        <f t="shared" si="27"/>
        <v>-</v>
      </c>
      <c r="BG46" s="9"/>
      <c r="BH46" s="9"/>
      <c r="BI46" s="9"/>
      <c r="BJ46" s="9"/>
      <c r="BZ46" s="9"/>
      <c r="CA46" s="348"/>
      <c r="CB46" s="349"/>
      <c r="CC46" s="350" t="s">
        <v>58</v>
      </c>
      <c r="CD46" s="351"/>
      <c r="CE46" s="352">
        <f>SUM(CE39:CE45)</f>
        <v>0</v>
      </c>
      <c r="CF46" s="353">
        <f>SUM(CF39:CF45)</f>
        <v>0</v>
      </c>
      <c r="CG46" s="352">
        <f t="shared" si="42"/>
        <v>0</v>
      </c>
      <c r="CH46" s="354"/>
      <c r="CI46" s="9"/>
    </row>
    <row r="47" spans="39:87" ht="18.95" customHeight="1" thickBot="1" x14ac:dyDescent="0.3">
      <c r="AM47" s="259">
        <v>42</v>
      </c>
      <c r="AN47" s="310" t="str">
        <f t="shared" si="29"/>
        <v>-</v>
      </c>
      <c r="AO47" s="9" t="str">
        <f t="shared" si="16"/>
        <v>-</v>
      </c>
      <c r="AP47" s="289" t="str">
        <f t="shared" si="17"/>
        <v>-</v>
      </c>
      <c r="AQ47" s="9" t="str">
        <f t="shared" si="18"/>
        <v>-</v>
      </c>
      <c r="AR47" s="453"/>
      <c r="AS47" s="453"/>
      <c r="AT47" s="229" t="str">
        <f t="shared" si="19"/>
        <v>-</v>
      </c>
      <c r="AU47" s="290" t="str">
        <f t="shared" si="20"/>
        <v>N/A</v>
      </c>
      <c r="AV47" s="453"/>
      <c r="AW47" s="290" t="str">
        <f t="shared" si="7"/>
        <v>N/A</v>
      </c>
      <c r="AX47" s="453"/>
      <c r="AY47" s="290" t="str">
        <f t="shared" si="21"/>
        <v>N/A</v>
      </c>
      <c r="AZ47" s="453"/>
      <c r="BA47" s="291" t="str">
        <f t="shared" si="22"/>
        <v>N/A</v>
      </c>
      <c r="BB47" s="292" t="str">
        <f t="shared" si="23"/>
        <v>-</v>
      </c>
      <c r="BC47" s="512" t="str">
        <f t="shared" si="24"/>
        <v>-</v>
      </c>
      <c r="BD47" s="293" t="str">
        <f t="shared" si="25"/>
        <v>-</v>
      </c>
      <c r="BE47" s="293" t="str">
        <f t="shared" si="26"/>
        <v>-</v>
      </c>
      <c r="BF47" s="294" t="str">
        <f t="shared" si="27"/>
        <v>-</v>
      </c>
      <c r="BG47" s="9"/>
      <c r="BH47" s="9"/>
      <c r="BI47" s="9"/>
      <c r="BJ47" s="9"/>
      <c r="BZ47" s="9"/>
      <c r="CA47" s="363"/>
      <c r="CB47" s="364"/>
      <c r="CC47" s="365"/>
      <c r="CD47" s="366" t="s">
        <v>208</v>
      </c>
      <c r="CE47" s="366"/>
      <c r="CF47" s="367"/>
      <c r="CG47" s="367"/>
      <c r="CH47" s="368">
        <f>SUMPRODUCT(CF39:CF45,CH39:CH45,CC39:CC45)</f>
        <v>0</v>
      </c>
      <c r="CI47" s="9"/>
    </row>
    <row r="48" spans="39:87" ht="18.95" customHeight="1" thickBot="1" x14ac:dyDescent="0.3">
      <c r="AM48" s="259">
        <v>43</v>
      </c>
      <c r="AN48" s="310" t="str">
        <f t="shared" si="29"/>
        <v>-</v>
      </c>
      <c r="AO48" s="9" t="str">
        <f t="shared" si="16"/>
        <v>-</v>
      </c>
      <c r="AP48" s="289" t="str">
        <f t="shared" si="17"/>
        <v>-</v>
      </c>
      <c r="AQ48" s="9" t="str">
        <f t="shared" si="18"/>
        <v>-</v>
      </c>
      <c r="AR48" s="453"/>
      <c r="AS48" s="453"/>
      <c r="AT48" s="229" t="str">
        <f t="shared" si="19"/>
        <v>-</v>
      </c>
      <c r="AU48" s="290" t="str">
        <f t="shared" si="20"/>
        <v>N/A</v>
      </c>
      <c r="AV48" s="453"/>
      <c r="AW48" s="290" t="str">
        <f t="shared" si="7"/>
        <v>N/A</v>
      </c>
      <c r="AX48" s="453"/>
      <c r="AY48" s="290" t="str">
        <f t="shared" si="21"/>
        <v>N/A</v>
      </c>
      <c r="AZ48" s="453"/>
      <c r="BA48" s="291" t="str">
        <f t="shared" si="22"/>
        <v>N/A</v>
      </c>
      <c r="BB48" s="292" t="str">
        <f t="shared" si="23"/>
        <v>-</v>
      </c>
      <c r="BC48" s="512" t="str">
        <f t="shared" si="24"/>
        <v>-</v>
      </c>
      <c r="BD48" s="293" t="str">
        <f t="shared" si="25"/>
        <v>-</v>
      </c>
      <c r="BE48" s="293" t="str">
        <f t="shared" si="26"/>
        <v>-</v>
      </c>
      <c r="BF48" s="294" t="str">
        <f t="shared" si="27"/>
        <v>-</v>
      </c>
      <c r="BG48" s="9"/>
      <c r="BH48" s="9"/>
      <c r="BI48" s="9"/>
      <c r="BJ48" s="9"/>
      <c r="BZ48" s="9"/>
      <c r="CA48" s="9"/>
      <c r="CB48" s="9"/>
      <c r="CC48" s="9"/>
      <c r="CD48" s="9"/>
      <c r="CE48" s="9"/>
      <c r="CF48" s="9"/>
      <c r="CG48" s="9"/>
      <c r="CH48" s="9"/>
      <c r="CI48" s="9"/>
    </row>
    <row r="49" spans="39:87" ht="36" customHeight="1" x14ac:dyDescent="0.25">
      <c r="AM49" s="259">
        <v>44</v>
      </c>
      <c r="AN49" s="310" t="str">
        <f t="shared" si="29"/>
        <v>-</v>
      </c>
      <c r="AO49" s="9" t="str">
        <f t="shared" si="16"/>
        <v>-</v>
      </c>
      <c r="AP49" s="289" t="str">
        <f t="shared" si="17"/>
        <v>-</v>
      </c>
      <c r="AQ49" s="9" t="str">
        <f t="shared" si="18"/>
        <v>-</v>
      </c>
      <c r="AR49" s="453"/>
      <c r="AS49" s="453"/>
      <c r="AT49" s="229" t="str">
        <f t="shared" si="19"/>
        <v>-</v>
      </c>
      <c r="AU49" s="290" t="str">
        <f t="shared" si="20"/>
        <v>N/A</v>
      </c>
      <c r="AV49" s="453"/>
      <c r="AW49" s="290" t="str">
        <f t="shared" si="7"/>
        <v>N/A</v>
      </c>
      <c r="AX49" s="453"/>
      <c r="AY49" s="290" t="str">
        <f t="shared" si="21"/>
        <v>N/A</v>
      </c>
      <c r="AZ49" s="453"/>
      <c r="BA49" s="291" t="str">
        <f t="shared" si="22"/>
        <v>N/A</v>
      </c>
      <c r="BB49" s="292" t="str">
        <f t="shared" si="23"/>
        <v>-</v>
      </c>
      <c r="BC49" s="512" t="str">
        <f t="shared" si="24"/>
        <v>-</v>
      </c>
      <c r="BD49" s="293" t="str">
        <f t="shared" si="25"/>
        <v>-</v>
      </c>
      <c r="BE49" s="293" t="str">
        <f t="shared" si="26"/>
        <v>-</v>
      </c>
      <c r="BF49" s="294" t="str">
        <f t="shared" si="27"/>
        <v>-</v>
      </c>
      <c r="BG49" s="9"/>
      <c r="BH49" s="9"/>
      <c r="BI49" s="9"/>
      <c r="BJ49" s="9"/>
      <c r="BZ49" s="9"/>
      <c r="CA49" s="273" t="str">
        <f>IF(BN11=BN17,"-",BN11)</f>
        <v>-</v>
      </c>
      <c r="CB49" s="54" t="s">
        <v>328</v>
      </c>
      <c r="CC49" s="54" t="s">
        <v>205</v>
      </c>
      <c r="CD49" s="54" t="s">
        <v>95</v>
      </c>
      <c r="CE49" s="54" t="s">
        <v>326</v>
      </c>
      <c r="CF49" s="54" t="s">
        <v>206</v>
      </c>
      <c r="CG49" s="54" t="s">
        <v>234</v>
      </c>
      <c r="CH49" s="274" t="s">
        <v>209</v>
      </c>
      <c r="CI49" s="9"/>
    </row>
    <row r="50" spans="39:87" ht="18.95" customHeight="1" x14ac:dyDescent="0.25">
      <c r="AM50" s="259">
        <v>45</v>
      </c>
      <c r="AN50" s="310" t="str">
        <f t="shared" si="29"/>
        <v>-</v>
      </c>
      <c r="AO50" s="9" t="str">
        <f t="shared" si="16"/>
        <v>-</v>
      </c>
      <c r="AP50" s="289" t="str">
        <f t="shared" si="17"/>
        <v>-</v>
      </c>
      <c r="AQ50" s="9" t="str">
        <f t="shared" si="18"/>
        <v>-</v>
      </c>
      <c r="AR50" s="453"/>
      <c r="AS50" s="453"/>
      <c r="AT50" s="229" t="str">
        <f t="shared" si="19"/>
        <v>-</v>
      </c>
      <c r="AU50" s="290" t="str">
        <f t="shared" si="20"/>
        <v>N/A</v>
      </c>
      <c r="AV50" s="453"/>
      <c r="AW50" s="290" t="str">
        <f t="shared" si="7"/>
        <v>N/A</v>
      </c>
      <c r="AX50" s="453"/>
      <c r="AY50" s="290" t="str">
        <f t="shared" si="21"/>
        <v>N/A</v>
      </c>
      <c r="AZ50" s="453"/>
      <c r="BA50" s="291" t="str">
        <f t="shared" si="22"/>
        <v>N/A</v>
      </c>
      <c r="BB50" s="292" t="str">
        <f t="shared" si="23"/>
        <v>-</v>
      </c>
      <c r="BC50" s="512" t="str">
        <f t="shared" si="24"/>
        <v>-</v>
      </c>
      <c r="BD50" s="293" t="str">
        <f t="shared" si="25"/>
        <v>-</v>
      </c>
      <c r="BE50" s="293" t="str">
        <f t="shared" si="26"/>
        <v>-</v>
      </c>
      <c r="BF50" s="294" t="str">
        <f t="shared" si="27"/>
        <v>-</v>
      </c>
      <c r="BG50" s="9"/>
      <c r="BH50" s="9"/>
      <c r="BI50" s="9"/>
      <c r="BJ50" s="9"/>
      <c r="BZ50" s="9"/>
      <c r="CA50" s="476"/>
      <c r="CB50" s="515">
        <f>IFERROR(VLOOKUP(CA50,Feed!$B$4:$H$19,2,FALSE)*($BR$11/$BQ$11)+VLOOKUP(CA50,Feed!$B$4:$H$19,3,FALSE)*($BS$11/$BQ$11)+VLOOKUP(CA50,Feed!$B$4:$H$19,4,FALSE)*($BT$11/$BQ$11)+VLOOKUP(CA50,Feed!$B$4:$H$19,5,FALSE)*($BU$11/$BQ$11),0)</f>
        <v>0</v>
      </c>
      <c r="CC50" s="299" t="str">
        <f t="shared" ref="CC50:CC55" si="45">IFERROR(VLOOKUP($CA50,FeedIngLst,6,FALSE),"-")</f>
        <v>-</v>
      </c>
      <c r="CD50" s="299" t="str">
        <f t="shared" ref="CD50:CD55" si="46">IFERROR(VLOOKUP($CA50,FeedIngLst,7,FALSE),"-")</f>
        <v>-</v>
      </c>
      <c r="CE50" s="482"/>
      <c r="CF50" s="299" t="str">
        <f>IFERROR(CE50/$CE$57,"-")</f>
        <v>-</v>
      </c>
      <c r="CG50" s="300">
        <f t="shared" ref="CG50:CG57" si="47">CE50*$R$15*$BQ$11/2000</f>
        <v>0</v>
      </c>
      <c r="CH50" s="301" t="str">
        <f t="shared" ref="CH50:CH56" si="48">IFERROR($CB50/$CC50/(1-$CD50),"-")</f>
        <v>-</v>
      </c>
      <c r="CI50" s="9"/>
    </row>
    <row r="51" spans="39:87" ht="18.95" customHeight="1" x14ac:dyDescent="0.25">
      <c r="AM51" s="259">
        <v>46</v>
      </c>
      <c r="AN51" s="310" t="str">
        <f t="shared" si="29"/>
        <v>-</v>
      </c>
      <c r="AO51" s="9" t="str">
        <f t="shared" si="16"/>
        <v>-</v>
      </c>
      <c r="AP51" s="289" t="str">
        <f t="shared" si="17"/>
        <v>-</v>
      </c>
      <c r="AQ51" s="9" t="str">
        <f t="shared" si="18"/>
        <v>-</v>
      </c>
      <c r="AR51" s="453"/>
      <c r="AS51" s="453"/>
      <c r="AT51" s="229" t="str">
        <f t="shared" si="19"/>
        <v>-</v>
      </c>
      <c r="AU51" s="290" t="str">
        <f t="shared" si="20"/>
        <v>N/A</v>
      </c>
      <c r="AV51" s="453"/>
      <c r="AW51" s="290" t="str">
        <f t="shared" si="7"/>
        <v>N/A</v>
      </c>
      <c r="AX51" s="453"/>
      <c r="AY51" s="290" t="str">
        <f t="shared" si="21"/>
        <v>N/A</v>
      </c>
      <c r="AZ51" s="453"/>
      <c r="BA51" s="291" t="str">
        <f t="shared" si="22"/>
        <v>N/A</v>
      </c>
      <c r="BB51" s="292" t="str">
        <f t="shared" si="23"/>
        <v>-</v>
      </c>
      <c r="BC51" s="512" t="str">
        <f t="shared" si="24"/>
        <v>-</v>
      </c>
      <c r="BD51" s="293" t="str">
        <f t="shared" si="25"/>
        <v>-</v>
      </c>
      <c r="BE51" s="293" t="str">
        <f t="shared" si="26"/>
        <v>-</v>
      </c>
      <c r="BF51" s="294" t="str">
        <f t="shared" si="27"/>
        <v>-</v>
      </c>
      <c r="BG51" s="9"/>
      <c r="BH51" s="9"/>
      <c r="BI51" s="9"/>
      <c r="BJ51" s="9"/>
      <c r="BZ51" s="9"/>
      <c r="CA51" s="476"/>
      <c r="CB51" s="515">
        <f>IFERROR(VLOOKUP(CA51,Feed!$B$4:$H$19,2,FALSE)*($BR$11/$BQ$11)+VLOOKUP(CA51,Feed!$B$4:$H$19,3,FALSE)*($BS$11/$BQ$11)+VLOOKUP(CA51,Feed!$B$4:$H$19,4,FALSE)*($BT$11/$BQ$11)+VLOOKUP(CA51,Feed!$B$4:$H$19,5,FALSE)*($BU$11/$BQ$11),0)</f>
        <v>0</v>
      </c>
      <c r="CC51" s="299" t="str">
        <f t="shared" si="45"/>
        <v>-</v>
      </c>
      <c r="CD51" s="299" t="str">
        <f t="shared" si="46"/>
        <v>-</v>
      </c>
      <c r="CE51" s="482"/>
      <c r="CF51" s="299" t="str">
        <f t="shared" ref="CF51:CF56" si="49">IFERROR(CE51/$CE$57,"-")</f>
        <v>-</v>
      </c>
      <c r="CG51" s="300">
        <f t="shared" si="47"/>
        <v>0</v>
      </c>
      <c r="CH51" s="301" t="str">
        <f t="shared" si="48"/>
        <v>-</v>
      </c>
      <c r="CI51" s="9"/>
    </row>
    <row r="52" spans="39:87" ht="18.95" customHeight="1" x14ac:dyDescent="0.25">
      <c r="AM52" s="259">
        <v>47</v>
      </c>
      <c r="AN52" s="310" t="str">
        <f t="shared" si="29"/>
        <v>-</v>
      </c>
      <c r="AO52" s="9" t="str">
        <f t="shared" si="16"/>
        <v>-</v>
      </c>
      <c r="AP52" s="289" t="str">
        <f t="shared" si="17"/>
        <v>-</v>
      </c>
      <c r="AQ52" s="9" t="str">
        <f t="shared" si="18"/>
        <v>-</v>
      </c>
      <c r="AR52" s="453"/>
      <c r="AS52" s="453"/>
      <c r="AT52" s="229" t="str">
        <f t="shared" si="19"/>
        <v>-</v>
      </c>
      <c r="AU52" s="290" t="str">
        <f t="shared" si="20"/>
        <v>N/A</v>
      </c>
      <c r="AV52" s="453"/>
      <c r="AW52" s="290" t="str">
        <f t="shared" si="7"/>
        <v>N/A</v>
      </c>
      <c r="AX52" s="453"/>
      <c r="AY52" s="290" t="str">
        <f t="shared" si="21"/>
        <v>N/A</v>
      </c>
      <c r="AZ52" s="453"/>
      <c r="BA52" s="291" t="str">
        <f t="shared" si="22"/>
        <v>N/A</v>
      </c>
      <c r="BB52" s="292" t="str">
        <f t="shared" si="23"/>
        <v>-</v>
      </c>
      <c r="BC52" s="512" t="str">
        <f t="shared" si="24"/>
        <v>-</v>
      </c>
      <c r="BD52" s="293" t="str">
        <f t="shared" si="25"/>
        <v>-</v>
      </c>
      <c r="BE52" s="293" t="str">
        <f t="shared" si="26"/>
        <v>-</v>
      </c>
      <c r="BF52" s="294" t="str">
        <f t="shared" si="27"/>
        <v>-</v>
      </c>
      <c r="BG52" s="9"/>
      <c r="BH52" s="9"/>
      <c r="BI52" s="9"/>
      <c r="BJ52" s="9"/>
      <c r="BZ52" s="9"/>
      <c r="CA52" s="476"/>
      <c r="CB52" s="515">
        <f>IFERROR(VLOOKUP(CA52,Feed!$B$4:$H$19,2,FALSE)*($BR$11/$BQ$11)+VLOOKUP(CA52,Feed!$B$4:$H$19,3,FALSE)*($BS$11/$BQ$11)+VLOOKUP(CA52,Feed!$B$4:$H$19,4,FALSE)*($BT$11/$BQ$11)+VLOOKUP(CA52,Feed!$B$4:$H$19,5,FALSE)*($BU$11/$BQ$11),0)</f>
        <v>0</v>
      </c>
      <c r="CC52" s="299" t="str">
        <f t="shared" si="45"/>
        <v>-</v>
      </c>
      <c r="CD52" s="299" t="str">
        <f t="shared" si="46"/>
        <v>-</v>
      </c>
      <c r="CE52" s="482"/>
      <c r="CF52" s="299" t="str">
        <f t="shared" si="49"/>
        <v>-</v>
      </c>
      <c r="CG52" s="300">
        <f t="shared" si="47"/>
        <v>0</v>
      </c>
      <c r="CH52" s="301" t="str">
        <f t="shared" si="48"/>
        <v>-</v>
      </c>
      <c r="CI52" s="9"/>
    </row>
    <row r="53" spans="39:87" ht="18.95" customHeight="1" x14ac:dyDescent="0.25">
      <c r="AM53" s="259">
        <v>48</v>
      </c>
      <c r="AN53" s="310" t="str">
        <f t="shared" si="29"/>
        <v>-</v>
      </c>
      <c r="AO53" s="9" t="str">
        <f t="shared" si="16"/>
        <v>-</v>
      </c>
      <c r="AP53" s="289" t="str">
        <f t="shared" si="17"/>
        <v>-</v>
      </c>
      <c r="AQ53" s="9" t="str">
        <f t="shared" si="18"/>
        <v>-</v>
      </c>
      <c r="AR53" s="453"/>
      <c r="AS53" s="453"/>
      <c r="AT53" s="229" t="str">
        <f t="shared" si="19"/>
        <v>-</v>
      </c>
      <c r="AU53" s="290" t="str">
        <f t="shared" si="20"/>
        <v>N/A</v>
      </c>
      <c r="AV53" s="453"/>
      <c r="AW53" s="290" t="str">
        <f t="shared" si="7"/>
        <v>N/A</v>
      </c>
      <c r="AX53" s="453"/>
      <c r="AY53" s="290" t="str">
        <f t="shared" si="21"/>
        <v>N/A</v>
      </c>
      <c r="AZ53" s="453"/>
      <c r="BA53" s="291" t="str">
        <f t="shared" si="22"/>
        <v>N/A</v>
      </c>
      <c r="BB53" s="292" t="str">
        <f t="shared" si="23"/>
        <v>-</v>
      </c>
      <c r="BC53" s="512" t="str">
        <f t="shared" si="24"/>
        <v>-</v>
      </c>
      <c r="BD53" s="293" t="str">
        <f t="shared" si="25"/>
        <v>-</v>
      </c>
      <c r="BE53" s="293" t="str">
        <f t="shared" si="26"/>
        <v>-</v>
      </c>
      <c r="BF53" s="294" t="str">
        <f t="shared" si="27"/>
        <v>-</v>
      </c>
      <c r="BG53" s="9"/>
      <c r="BH53" s="9"/>
      <c r="BI53" s="9"/>
      <c r="BJ53" s="9"/>
      <c r="BZ53" s="9"/>
      <c r="CA53" s="476"/>
      <c r="CB53" s="515">
        <f>IFERROR(VLOOKUP(CA53,Feed!$B$4:$H$19,2,FALSE)*($BR$11/$BQ$11)+VLOOKUP(CA53,Feed!$B$4:$H$19,3,FALSE)*($BS$11/$BQ$11)+VLOOKUP(CA53,Feed!$B$4:$H$19,4,FALSE)*($BT$11/$BQ$11)+VLOOKUP(CA53,Feed!$B$4:$H$19,5,FALSE)*($BU$11/$BQ$11),0)</f>
        <v>0</v>
      </c>
      <c r="CC53" s="299" t="str">
        <f t="shared" si="45"/>
        <v>-</v>
      </c>
      <c r="CD53" s="299" t="str">
        <f t="shared" si="46"/>
        <v>-</v>
      </c>
      <c r="CE53" s="482"/>
      <c r="CF53" s="299" t="str">
        <f t="shared" si="49"/>
        <v>-</v>
      </c>
      <c r="CG53" s="300">
        <f t="shared" si="47"/>
        <v>0</v>
      </c>
      <c r="CH53" s="301" t="str">
        <f t="shared" si="48"/>
        <v>-</v>
      </c>
      <c r="CI53" s="9"/>
    </row>
    <row r="54" spans="39:87" ht="18.95" customHeight="1" x14ac:dyDescent="0.25">
      <c r="AM54" s="259">
        <v>49</v>
      </c>
      <c r="AN54" s="310" t="str">
        <f t="shared" si="29"/>
        <v>-</v>
      </c>
      <c r="AO54" s="9" t="str">
        <f t="shared" si="16"/>
        <v>-</v>
      </c>
      <c r="AP54" s="289" t="str">
        <f t="shared" si="17"/>
        <v>-</v>
      </c>
      <c r="AQ54" s="9" t="str">
        <f t="shared" si="18"/>
        <v>-</v>
      </c>
      <c r="AR54" s="453"/>
      <c r="AS54" s="453"/>
      <c r="AT54" s="229" t="str">
        <f t="shared" si="19"/>
        <v>-</v>
      </c>
      <c r="AU54" s="290" t="str">
        <f t="shared" si="20"/>
        <v>N/A</v>
      </c>
      <c r="AV54" s="453"/>
      <c r="AW54" s="290" t="str">
        <f t="shared" si="7"/>
        <v>N/A</v>
      </c>
      <c r="AX54" s="453"/>
      <c r="AY54" s="290" t="str">
        <f t="shared" si="21"/>
        <v>N/A</v>
      </c>
      <c r="AZ54" s="453"/>
      <c r="BA54" s="291" t="str">
        <f t="shared" si="22"/>
        <v>N/A</v>
      </c>
      <c r="BB54" s="292" t="str">
        <f t="shared" si="23"/>
        <v>-</v>
      </c>
      <c r="BC54" s="512" t="str">
        <f t="shared" si="24"/>
        <v>-</v>
      </c>
      <c r="BD54" s="293" t="str">
        <f t="shared" si="25"/>
        <v>-</v>
      </c>
      <c r="BE54" s="293" t="str">
        <f t="shared" si="26"/>
        <v>-</v>
      </c>
      <c r="BF54" s="294" t="str">
        <f t="shared" si="27"/>
        <v>-</v>
      </c>
      <c r="BG54" s="9"/>
      <c r="BH54" s="9"/>
      <c r="BI54" s="9"/>
      <c r="BJ54" s="9"/>
      <c r="BZ54" s="9"/>
      <c r="CA54" s="476"/>
      <c r="CB54" s="515">
        <f>IFERROR(VLOOKUP(CA54,Feed!$B$4:$H$19,2,FALSE)*($BR$11/$BQ$11)+VLOOKUP(CA54,Feed!$B$4:$H$19,3,FALSE)*($BS$11/$BQ$11)+VLOOKUP(CA54,Feed!$B$4:$H$19,4,FALSE)*($BT$11/$BQ$11)+VLOOKUP(CA54,Feed!$B$4:$H$19,5,FALSE)*($BU$11/$BQ$11),0)</f>
        <v>0</v>
      </c>
      <c r="CC54" s="299" t="str">
        <f t="shared" si="45"/>
        <v>-</v>
      </c>
      <c r="CD54" s="299" t="str">
        <f t="shared" si="46"/>
        <v>-</v>
      </c>
      <c r="CE54" s="482"/>
      <c r="CF54" s="299" t="str">
        <f t="shared" si="49"/>
        <v>-</v>
      </c>
      <c r="CG54" s="300">
        <f t="shared" si="47"/>
        <v>0</v>
      </c>
      <c r="CH54" s="301" t="str">
        <f t="shared" si="48"/>
        <v>-</v>
      </c>
      <c r="CI54" s="9"/>
    </row>
    <row r="55" spans="39:87" ht="18.95" customHeight="1" thickBot="1" x14ac:dyDescent="0.3">
      <c r="AM55" s="259">
        <v>50</v>
      </c>
      <c r="AN55" s="384" t="str">
        <f t="shared" si="29"/>
        <v>-</v>
      </c>
      <c r="AO55" s="385" t="str">
        <f t="shared" si="16"/>
        <v>-</v>
      </c>
      <c r="AP55" s="401" t="str">
        <f t="shared" si="17"/>
        <v>-</v>
      </c>
      <c r="AQ55" s="385" t="str">
        <f t="shared" si="18"/>
        <v>-</v>
      </c>
      <c r="AR55" s="454"/>
      <c r="AS55" s="455"/>
      <c r="AT55" s="402" t="str">
        <f t="shared" si="19"/>
        <v>-</v>
      </c>
      <c r="AU55" s="403" t="str">
        <f t="shared" si="20"/>
        <v>N/A</v>
      </c>
      <c r="AV55" s="455"/>
      <c r="AW55" s="403" t="str">
        <f t="shared" si="7"/>
        <v>N/A</v>
      </c>
      <c r="AX55" s="455"/>
      <c r="AY55" s="403" t="str">
        <f t="shared" si="21"/>
        <v>N/A</v>
      </c>
      <c r="AZ55" s="455"/>
      <c r="BA55" s="404" t="str">
        <f t="shared" si="22"/>
        <v>N/A</v>
      </c>
      <c r="BB55" s="405" t="str">
        <f t="shared" si="23"/>
        <v>-</v>
      </c>
      <c r="BC55" s="513" t="str">
        <f t="shared" si="24"/>
        <v>-</v>
      </c>
      <c r="BD55" s="406" t="str">
        <f t="shared" si="25"/>
        <v>-</v>
      </c>
      <c r="BE55" s="406" t="str">
        <f t="shared" si="26"/>
        <v>-</v>
      </c>
      <c r="BF55" s="407" t="str">
        <f t="shared" si="27"/>
        <v>-</v>
      </c>
      <c r="BG55" s="9"/>
      <c r="BH55" s="9"/>
      <c r="BI55" s="9"/>
      <c r="BJ55" s="9"/>
      <c r="BZ55" s="9"/>
      <c r="CA55" s="476"/>
      <c r="CB55" s="515">
        <f>IFERROR(VLOOKUP(CA55,Feed!$B$4:$H$19,2,FALSE)*($BR$11/$BQ$11)+VLOOKUP(CA55,Feed!$B$4:$H$19,3,FALSE)*($BS$11/$BQ$11)+VLOOKUP(CA55,Feed!$B$4:$H$19,4,FALSE)*($BT$11/$BQ$11)+VLOOKUP(CA55,Feed!$B$4:$H$19,5,FALSE)*($BU$11/$BQ$11),0)</f>
        <v>0</v>
      </c>
      <c r="CC55" s="299" t="str">
        <f t="shared" si="45"/>
        <v>-</v>
      </c>
      <c r="CD55" s="299" t="str">
        <f t="shared" si="46"/>
        <v>-</v>
      </c>
      <c r="CE55" s="482"/>
      <c r="CF55" s="299" t="str">
        <f t="shared" si="49"/>
        <v>-</v>
      </c>
      <c r="CG55" s="300">
        <f t="shared" si="47"/>
        <v>0</v>
      </c>
      <c r="CH55" s="301" t="str">
        <f t="shared" si="48"/>
        <v>-</v>
      </c>
      <c r="CI55" s="9"/>
    </row>
    <row r="56" spans="39:87" ht="18.95" customHeight="1" thickBot="1" x14ac:dyDescent="0.3">
      <c r="AM56" s="9"/>
      <c r="AN56" s="628" t="s">
        <v>138</v>
      </c>
      <c r="AO56" s="629"/>
      <c r="AP56" s="629"/>
      <c r="AQ56" s="629"/>
      <c r="AR56" s="408">
        <f>IFERROR(AVERAGE(AR6:AR55),)</f>
        <v>0</v>
      </c>
      <c r="AS56" s="408">
        <f>IFERROR(AVERAGE(AS6:AS55),)</f>
        <v>0</v>
      </c>
      <c r="AT56" s="408"/>
      <c r="AU56" s="408" t="str">
        <f>IFERROR(AVERAGE(AU6:AU55),"No weights entered")</f>
        <v>No weights entered</v>
      </c>
      <c r="AV56" s="408">
        <f>IFERROR(AVERAGE(AV6:AV55),)</f>
        <v>0</v>
      </c>
      <c r="AW56" s="408" t="str">
        <f>IFERROR(AVERAGE(AW6:AW55),"No weights entered")</f>
        <v>No weights entered</v>
      </c>
      <c r="AX56" s="408">
        <f>IFERROR(AVERAGE(AX6:AX55),)</f>
        <v>0</v>
      </c>
      <c r="AY56" s="408" t="str">
        <f>IFERROR(AVERAGE(AY6:AY55),"No weights entered")</f>
        <v>No weights entered</v>
      </c>
      <c r="AZ56" s="408">
        <f>IFERROR(AVERAGE(AZ6:AZ55),)</f>
        <v>0</v>
      </c>
      <c r="BA56" s="408" t="str">
        <f>IFERROR(AVERAGE(BA6:BA55),"No weights entered")</f>
        <v>No weights entered</v>
      </c>
      <c r="BB56" s="409" t="str">
        <f>IFERROR(AVERAGE(BB6:BB55),"-")</f>
        <v>-</v>
      </c>
      <c r="BC56" s="408"/>
      <c r="BD56" s="408" t="str">
        <f>IFERROR(AVERAGE(BD6:BD55),"-")</f>
        <v>-</v>
      </c>
      <c r="BE56" s="408" t="str">
        <f>IFERROR(AVERAGE(BE6:BE55),"-")</f>
        <v>-</v>
      </c>
      <c r="BF56" s="410" t="str">
        <f>IFERROR(AVERAGE(BF6:BF55),"-")</f>
        <v>-</v>
      </c>
      <c r="BG56" s="9"/>
      <c r="BH56" s="9"/>
      <c r="BI56" s="9"/>
      <c r="BJ56" s="9"/>
      <c r="BZ56" s="9"/>
      <c r="CA56" s="338" t="s">
        <v>330</v>
      </c>
      <c r="CB56" s="516">
        <f>'AUM Evaluator'!$S$9*$CB$61</f>
        <v>78.359787947924048</v>
      </c>
      <c r="CC56" s="299">
        <v>1</v>
      </c>
      <c r="CD56" s="340">
        <v>0</v>
      </c>
      <c r="CE56" s="483"/>
      <c r="CF56" s="341" t="str">
        <f t="shared" si="49"/>
        <v>-</v>
      </c>
      <c r="CG56" s="342">
        <f t="shared" si="47"/>
        <v>0</v>
      </c>
      <c r="CH56" s="343">
        <f t="shared" si="48"/>
        <v>78.359787947924048</v>
      </c>
      <c r="CI56" s="9"/>
    </row>
    <row r="57" spans="39:87" ht="18.95" customHeight="1" x14ac:dyDescent="0.25">
      <c r="AM57" s="9"/>
      <c r="AN57" s="9"/>
      <c r="AO57" s="9"/>
      <c r="AP57" s="9"/>
      <c r="AQ57" s="9"/>
      <c r="AR57" s="259" t="s">
        <v>244</v>
      </c>
      <c r="AS57" s="259">
        <f>COUNTIF(AS6:AS55,$BH$13)</f>
        <v>0</v>
      </c>
      <c r="AT57" s="259"/>
      <c r="AU57" s="259"/>
      <c r="AV57" s="259">
        <f>COUNTIF(AV6:AV55,$BH$13)</f>
        <v>0</v>
      </c>
      <c r="AW57" s="259"/>
      <c r="AX57" s="259">
        <f>COUNTIF(AX6:AX55,$BH$13)</f>
        <v>0</v>
      </c>
      <c r="AY57" s="259"/>
      <c r="AZ57" s="259">
        <f>COUNTIF(AZ6:AZ55,$BH$13)</f>
        <v>0</v>
      </c>
      <c r="BA57" s="521"/>
      <c r="BB57" s="9"/>
      <c r="BC57" s="514"/>
      <c r="BD57" s="9"/>
      <c r="BE57" s="9"/>
      <c r="BF57" s="9"/>
      <c r="BG57" s="9"/>
      <c r="BH57" s="9"/>
      <c r="BI57" s="9"/>
      <c r="BJ57" s="9"/>
      <c r="BZ57" s="9"/>
      <c r="CA57" s="348"/>
      <c r="CB57" s="349"/>
      <c r="CC57" s="350" t="s">
        <v>58</v>
      </c>
      <c r="CD57" s="351"/>
      <c r="CE57" s="352">
        <f>SUM(CE50:CE56)</f>
        <v>0</v>
      </c>
      <c r="CF57" s="353">
        <f>SUM(CF50:CF56)</f>
        <v>0</v>
      </c>
      <c r="CG57" s="352">
        <f t="shared" si="47"/>
        <v>0</v>
      </c>
      <c r="CH57" s="354"/>
      <c r="CI57" s="9"/>
    </row>
    <row r="58" spans="39:87" ht="18.95" customHeight="1" thickBot="1" x14ac:dyDescent="0.3">
      <c r="AM58" s="9"/>
      <c r="AN58" s="9"/>
      <c r="AO58" s="9"/>
      <c r="AP58" s="9"/>
      <c r="AQ58" s="9"/>
      <c r="AR58" s="259" t="s">
        <v>303</v>
      </c>
      <c r="AS58" s="259">
        <f>COUNTIF(AS6:AS55,$BH$14)</f>
        <v>0</v>
      </c>
      <c r="AT58" s="259"/>
      <c r="AU58" s="259"/>
      <c r="AV58" s="259">
        <f>COUNTIF(AV6:AV55,$BH$14)</f>
        <v>0</v>
      </c>
      <c r="AW58" s="259"/>
      <c r="AX58" s="259">
        <f>COUNTIF(AX6:AX55,$BH$14)</f>
        <v>0</v>
      </c>
      <c r="AY58" s="259"/>
      <c r="AZ58" s="259">
        <f>COUNTIF(AZ6:AZ55,$BH$14)</f>
        <v>0</v>
      </c>
      <c r="BA58" s="521"/>
      <c r="BB58" s="9"/>
      <c r="BC58" s="514"/>
      <c r="BD58" s="9"/>
      <c r="BE58" s="9"/>
      <c r="BF58" s="9"/>
      <c r="BG58" s="9"/>
      <c r="BH58" s="9"/>
      <c r="BI58" s="9"/>
      <c r="BJ58" s="9"/>
      <c r="BZ58" s="9"/>
      <c r="CA58" s="363"/>
      <c r="CB58" s="364"/>
      <c r="CC58" s="365"/>
      <c r="CD58" s="366" t="s">
        <v>208</v>
      </c>
      <c r="CE58" s="366"/>
      <c r="CF58" s="367">
        <f>SUM(CF51:CF57)</f>
        <v>0</v>
      </c>
      <c r="CG58" s="367"/>
      <c r="CH58" s="368">
        <f>SUMPRODUCT(CF50:CF56,CH50:CH56,CC50:CC56)</f>
        <v>0</v>
      </c>
      <c r="CI58" s="9"/>
    </row>
    <row r="59" spans="39:87" ht="18.95" customHeight="1" x14ac:dyDescent="0.25">
      <c r="AM59" s="9"/>
      <c r="AN59" s="9"/>
      <c r="AO59" s="9"/>
      <c r="AP59" s="9"/>
      <c r="AQ59" s="9"/>
      <c r="AR59" s="9"/>
      <c r="AS59" s="521"/>
      <c r="AT59" s="521"/>
      <c r="AU59" s="521"/>
      <c r="AV59" s="521"/>
      <c r="AW59" s="521"/>
      <c r="AX59" s="521"/>
      <c r="AY59" s="521"/>
      <c r="AZ59" s="521"/>
      <c r="BA59" s="521"/>
      <c r="BB59" s="9"/>
      <c r="BC59" s="514"/>
      <c r="BD59" s="9"/>
      <c r="BE59" s="9"/>
      <c r="BF59" s="9"/>
      <c r="BG59" s="9"/>
      <c r="BH59" s="9"/>
      <c r="BI59" s="9"/>
      <c r="BJ59" s="9"/>
      <c r="BZ59" s="9"/>
      <c r="CA59" s="9"/>
      <c r="CB59" s="9"/>
      <c r="CC59" s="9"/>
      <c r="CD59" s="9"/>
      <c r="CE59" s="9"/>
      <c r="CF59" s="9"/>
      <c r="CG59" s="9"/>
      <c r="CH59" s="9"/>
      <c r="CI59" s="9"/>
    </row>
    <row r="60" spans="39:87" ht="18.95" customHeight="1" x14ac:dyDescent="0.25">
      <c r="AP60" s="216" t="s">
        <v>251</v>
      </c>
      <c r="AS60" s="411">
        <f>(AZ56+AR56)/2</f>
        <v>0</v>
      </c>
      <c r="AT60" s="411"/>
      <c r="BZ60" s="9"/>
      <c r="CA60" s="259" t="s">
        <v>210</v>
      </c>
      <c r="CB60" s="259">
        <v>780</v>
      </c>
      <c r="CC60" s="259" t="s">
        <v>171</v>
      </c>
      <c r="CD60" s="9"/>
      <c r="CE60" s="9"/>
      <c r="CF60" s="9"/>
      <c r="CG60" s="9"/>
      <c r="CH60" s="9"/>
      <c r="CI60" s="9"/>
    </row>
    <row r="61" spans="39:87" ht="18.95" customHeight="1" x14ac:dyDescent="0.25">
      <c r="BZ61" s="9"/>
      <c r="CA61" s="259" t="s">
        <v>211</v>
      </c>
      <c r="CB61" s="412">
        <f>2000/CB60</f>
        <v>2.5641025641025643</v>
      </c>
      <c r="CC61" s="259"/>
      <c r="CD61" s="9"/>
      <c r="CE61" s="9"/>
      <c r="CF61" s="9"/>
      <c r="CG61" s="9"/>
      <c r="CH61" s="9"/>
      <c r="CI61" s="9"/>
    </row>
    <row r="98" spans="40:43" ht="18.95" customHeight="1" x14ac:dyDescent="0.25">
      <c r="AN98" s="630" t="s">
        <v>190</v>
      </c>
      <c r="AO98" s="631"/>
      <c r="AP98" s="631"/>
      <c r="AQ98" s="632"/>
    </row>
    <row r="99" spans="40:43" ht="18.95" customHeight="1" x14ac:dyDescent="0.25">
      <c r="AN99" s="413"/>
      <c r="AO99" s="633" t="s">
        <v>110</v>
      </c>
      <c r="AP99" s="633"/>
      <c r="AQ99" s="414" t="s">
        <v>111</v>
      </c>
    </row>
    <row r="100" spans="40:43" ht="18.95" customHeight="1" x14ac:dyDescent="0.25">
      <c r="AN100" s="415" t="s">
        <v>191</v>
      </c>
      <c r="AO100" s="416"/>
      <c r="AP100" s="416"/>
      <c r="AQ100" s="417"/>
    </row>
    <row r="101" spans="40:43" ht="18.95" customHeight="1" x14ac:dyDescent="0.25">
      <c r="AN101" s="415"/>
      <c r="AO101" s="416" t="s">
        <v>112</v>
      </c>
      <c r="AP101" s="416"/>
      <c r="AQ101" s="418">
        <v>1.32</v>
      </c>
    </row>
    <row r="102" spans="40:43" ht="18.95" customHeight="1" x14ac:dyDescent="0.25">
      <c r="AN102" s="415"/>
      <c r="AO102" s="416" t="s">
        <v>113</v>
      </c>
      <c r="AP102" s="416"/>
      <c r="AQ102" s="418">
        <v>0</v>
      </c>
    </row>
    <row r="103" spans="40:43" ht="18.95" customHeight="1" x14ac:dyDescent="0.25">
      <c r="AN103" s="415"/>
      <c r="AO103" s="419" t="s">
        <v>114</v>
      </c>
      <c r="AP103" s="419"/>
      <c r="AQ103" s="418">
        <v>1.71</v>
      </c>
    </row>
    <row r="104" spans="40:43" ht="18.95" customHeight="1" x14ac:dyDescent="0.25">
      <c r="AN104" s="415"/>
      <c r="AO104" s="420" t="s">
        <v>115</v>
      </c>
      <c r="AP104" s="421"/>
      <c r="AQ104" s="418">
        <v>1.33</v>
      </c>
    </row>
    <row r="105" spans="40:43" ht="18.95" customHeight="1" x14ac:dyDescent="0.25">
      <c r="AN105" s="415"/>
      <c r="AO105" s="416" t="s">
        <v>116</v>
      </c>
      <c r="AP105" s="416"/>
      <c r="AQ105" s="418">
        <v>1.1499999999999999</v>
      </c>
    </row>
    <row r="106" spans="40:43" ht="18.95" customHeight="1" x14ac:dyDescent="0.25">
      <c r="AN106" s="415"/>
      <c r="AO106" s="416" t="s">
        <v>117</v>
      </c>
      <c r="AP106" s="416"/>
      <c r="AQ106" s="422">
        <v>3.29</v>
      </c>
    </row>
    <row r="107" spans="40:43" ht="18.95" customHeight="1" x14ac:dyDescent="0.25">
      <c r="AN107" s="415"/>
      <c r="AO107" s="416" t="s">
        <v>118</v>
      </c>
      <c r="AP107" s="416"/>
      <c r="AQ107" s="423">
        <v>3.94</v>
      </c>
    </row>
    <row r="108" spans="40:43" ht="18.95" customHeight="1" x14ac:dyDescent="0.25">
      <c r="AN108" s="415"/>
      <c r="AO108" s="416" t="s">
        <v>119</v>
      </c>
      <c r="AP108" s="416"/>
      <c r="AQ108" s="423">
        <v>2.2799999999999998</v>
      </c>
    </row>
    <row r="109" spans="40:43" ht="18.95" customHeight="1" x14ac:dyDescent="0.25">
      <c r="AN109" s="415"/>
      <c r="AO109" s="416"/>
      <c r="AP109" s="416"/>
      <c r="AQ109" s="418">
        <f>+SUM(AQ101:AQ108)*AO94</f>
        <v>0</v>
      </c>
    </row>
    <row r="110" spans="40:43" ht="18.95" customHeight="1" x14ac:dyDescent="0.25">
      <c r="AN110" s="415" t="s">
        <v>120</v>
      </c>
      <c r="AO110" s="416"/>
      <c r="AP110" s="416"/>
      <c r="AQ110" s="417"/>
    </row>
    <row r="111" spans="40:43" ht="18.95" customHeight="1" x14ac:dyDescent="0.25">
      <c r="AN111" s="415"/>
      <c r="AO111" s="416" t="s">
        <v>121</v>
      </c>
      <c r="AP111" s="416"/>
      <c r="AQ111" s="418">
        <v>696</v>
      </c>
    </row>
    <row r="112" spans="40:43" ht="18.95" customHeight="1" x14ac:dyDescent="0.25">
      <c r="AN112" s="415"/>
      <c r="AO112" s="416"/>
      <c r="AP112" s="416"/>
      <c r="AQ112" s="417"/>
    </row>
    <row r="113" spans="40:43" ht="18.95" customHeight="1" x14ac:dyDescent="0.25">
      <c r="AN113" s="415" t="s">
        <v>122</v>
      </c>
      <c r="AO113" s="416"/>
      <c r="AP113" s="424" t="s">
        <v>123</v>
      </c>
      <c r="AQ113" s="425">
        <f>+AZ213</f>
        <v>0</v>
      </c>
    </row>
    <row r="114" spans="40:43" ht="18.95" customHeight="1" x14ac:dyDescent="0.25">
      <c r="AN114" s="415"/>
      <c r="AO114" s="623"/>
      <c r="AP114" s="623"/>
      <c r="AQ114" s="418">
        <v>0</v>
      </c>
    </row>
    <row r="115" spans="40:43" ht="18.95" customHeight="1" x14ac:dyDescent="0.25">
      <c r="AQ115" s="426"/>
    </row>
    <row r="116" spans="40:43" ht="18.95" customHeight="1" x14ac:dyDescent="0.25">
      <c r="AN116" s="415" t="s">
        <v>124</v>
      </c>
      <c r="AO116" s="416"/>
      <c r="AP116" s="416"/>
      <c r="AQ116" s="418" t="e">
        <f>+((SUM(AQ113,AQ109,AQ118,#REF!)*8.5%)/365)*80</f>
        <v>#REF!</v>
      </c>
    </row>
    <row r="117" spans="40:43" ht="18.95" customHeight="1" x14ac:dyDescent="0.25">
      <c r="AN117" s="415"/>
      <c r="AO117" s="416"/>
      <c r="AP117" s="416"/>
      <c r="AQ117" s="418" t="s">
        <v>125</v>
      </c>
    </row>
    <row r="118" spans="40:43" ht="18.95" customHeight="1" x14ac:dyDescent="0.25">
      <c r="AN118" s="427" t="s">
        <v>19</v>
      </c>
      <c r="AO118" s="428"/>
      <c r="AQ118" s="429">
        <v>300</v>
      </c>
    </row>
    <row r="119" spans="40:43" ht="18.95" customHeight="1" x14ac:dyDescent="0.25">
      <c r="AQ119" s="426"/>
    </row>
    <row r="120" spans="40:43" ht="18.95" customHeight="1" x14ac:dyDescent="0.25">
      <c r="AN120" s="415" t="s">
        <v>126</v>
      </c>
      <c r="AP120" s="416" t="s">
        <v>127</v>
      </c>
      <c r="AQ120" s="430">
        <f>30*AO96</f>
        <v>0</v>
      </c>
    </row>
    <row r="121" spans="40:43" ht="18.95" customHeight="1" x14ac:dyDescent="0.25">
      <c r="AN121" s="431"/>
      <c r="AO121" s="624" t="s">
        <v>128</v>
      </c>
      <c r="AP121" s="624"/>
      <c r="AQ121" s="432" t="e">
        <f>+SUM(AQ109,AQ118,AQ111,AQ113,AQ114,AQ116,AQ120)</f>
        <v>#REF!</v>
      </c>
    </row>
  </sheetData>
  <protectedRanges>
    <protectedRange sqref="CW5:DA18 DJ5:DK29 DM5:DN29 DP3:DP29" name="Animal Health"/>
    <protectedRange sqref="BN7:BP11 CA6:CA11 CA17:CA22 CA28:CA33 CA39:CA44 CA50:CA55 CE50:CE56 CE39:CE45 CE28:CE34 CE17:CE23 CE6:CE12" name="Feed Rations"/>
    <protectedRange sqref="AR2:BA2 AR6:AS55 AV6:AV55 AX6:AX55 AZ6:AZ55" name="Animal Information"/>
    <protectedRange sqref="Q5:Q14 S5:W14 AA5:AC14" name="Lot Summary"/>
    <protectedRange sqref="J5:J13" name="Input"/>
  </protectedRanges>
  <mergeCells count="46">
    <mergeCell ref="CI1:CI2"/>
    <mergeCell ref="CM1:CO1"/>
    <mergeCell ref="CP1:CS2"/>
    <mergeCell ref="CW1:DB1"/>
    <mergeCell ref="A1:F1"/>
    <mergeCell ref="I1:K1"/>
    <mergeCell ref="L1:L2"/>
    <mergeCell ref="P1:AE1"/>
    <mergeCell ref="AG1:AJ2"/>
    <mergeCell ref="AN1:BF1"/>
    <mergeCell ref="EM1:EP2"/>
    <mergeCell ref="A2:F2"/>
    <mergeCell ref="AN2:AQ2"/>
    <mergeCell ref="AS2:AU2"/>
    <mergeCell ref="AV2:AW2"/>
    <mergeCell ref="AX2:AY2"/>
    <mergeCell ref="AZ2:BA2"/>
    <mergeCell ref="BB2:BF2"/>
    <mergeCell ref="DC1:DF2"/>
    <mergeCell ref="DJ1:DQ1"/>
    <mergeCell ref="DR1:DU2"/>
    <mergeCell ref="DY1:EB1"/>
    <mergeCell ref="EC1:EF2"/>
    <mergeCell ref="EK1:EL1"/>
    <mergeCell ref="BG1:BJ2"/>
    <mergeCell ref="BN1:CH1"/>
    <mergeCell ref="A12:F12"/>
    <mergeCell ref="A3:F3"/>
    <mergeCell ref="A5:F5"/>
    <mergeCell ref="BN5:BY5"/>
    <mergeCell ref="DY5:EB5"/>
    <mergeCell ref="A6:F6"/>
    <mergeCell ref="A7:F7"/>
    <mergeCell ref="A8:F8"/>
    <mergeCell ref="A9:F9"/>
    <mergeCell ref="A10:F10"/>
    <mergeCell ref="A11:F11"/>
    <mergeCell ref="DY11:EB11"/>
    <mergeCell ref="AO114:AP114"/>
    <mergeCell ref="AO121:AP121"/>
    <mergeCell ref="DY16:DY17"/>
    <mergeCell ref="DZ24:EA24"/>
    <mergeCell ref="DZ25:EA25"/>
    <mergeCell ref="AN56:AQ56"/>
    <mergeCell ref="AN98:AQ98"/>
    <mergeCell ref="AO99:AP99"/>
  </mergeCells>
  <conditionalFormatting sqref="DZ25:EB25">
    <cfRule type="colorScale" priority="2">
      <colorScale>
        <cfvo type="num" val="&quot;&lt;0&quot;"/>
        <cfvo type="num" val="&quot;&gt;=0&quot;"/>
        <color rgb="FFC00000"/>
        <color theme="1"/>
      </colorScale>
    </cfRule>
  </conditionalFormatting>
  <conditionalFormatting sqref="EB25">
    <cfRule type="cellIs" dxfId="3" priority="1" operator="lessThan">
      <formula>0</formula>
    </cfRule>
  </conditionalFormatting>
  <dataValidations count="12">
    <dataValidation type="list" allowBlank="1" showInputMessage="1" showErrorMessage="1" sqref="S5:S14" xr:uid="{9F87AE25-71D2-4B2B-BFA5-69241BD847F7}">
      <formula1>$AH$7:$AH$11</formula1>
    </dataValidation>
    <dataValidation type="custom" allowBlank="1" showInputMessage="1" showErrorMessage="1" error="Sum of animals sold exceeds the number of head purchased or entered into the program." sqref="AA5:AA14" xr:uid="{3F140F42-9172-4CAF-A970-9AD1D4D2E6D4}">
      <formula1>SUM($AA$5:$AA$14)&lt;=$R$15</formula1>
    </dataValidation>
    <dataValidation type="whole" allowBlank="1" showInputMessage="1" showErrorMessage="1" error="The number of head sold exceeds the number of animals purchased or entered into the program." sqref="AA15" xr:uid="{BB737C4B-C299-47C9-87D7-41278DC323D0}">
      <formula1>0</formula1>
      <formula2>R15</formula2>
    </dataValidation>
    <dataValidation type="whole" allowBlank="1" showInputMessage="1" showErrorMessage="1" sqref="DK5:DK29" xr:uid="{57990512-300B-407E-8F0A-6791D82F3F84}">
      <formula1>MIN($AP$6:$AP$55,$AR$2,$AS$2,$AV$2,$AX$2,$AZ$2)</formula1>
      <formula2>MAX($AP$6:$AP$55,$AR$2,$AS$2,$AV$2,$AX$2,$AZ$2)</formula2>
    </dataValidation>
    <dataValidation type="date" allowBlank="1" showInputMessage="1" showErrorMessage="1" error="Feed end date must be later than the first date cattle are purchased and on or before the date that the sale is recorded." prompt="Feed end date must be later than the first date cattle are purchased and on or before the date that the sale is recorded." sqref="BP7:BP11" xr:uid="{3C7F1B73-221E-4099-A654-4388D04C7523}">
      <formula1>$BO$2</formula1>
      <formula2>$BQ$2</formula2>
    </dataValidation>
    <dataValidation type="whole" allowBlank="1" showInputMessage="1" showErrorMessage="1" sqref="DJ5:DJ29" xr:uid="{EBD82C7B-2CBA-4BA4-8EFB-F66A4343A3F2}">
      <formula1>MIN(AN6:AN55)</formula1>
      <formula2>MAX(AN6:AN55)</formula2>
    </dataValidation>
    <dataValidation type="date" allowBlank="1" showInputMessage="1" showErrorMessage="1" error="Feed start date must be later than the first date cattle are purchased and before the date that the sale is recorded." prompt="Feed start date must be later than the first date cattle are purchased and before the date that the sale is recorded." sqref="BO7:BO11" xr:uid="{CBB8DCFE-6A5D-4663-9E90-FF8C8111C716}">
      <formula1>$BO$2</formula1>
      <formula2>$BQ$2</formula2>
    </dataValidation>
    <dataValidation type="list" allowBlank="1" showInputMessage="1" showErrorMessage="1" sqref="CO3" xr:uid="{9EEE3E74-C0F4-4617-A30B-08BD59EEAB49}">
      <formula1>$BN$7:$BN$11</formula1>
    </dataValidation>
    <dataValidation type="list" allowBlank="1" showInputMessage="1" showErrorMessage="1" sqref="DN5:DN29" xr:uid="{D1B0598B-A958-4EE5-94C7-A3E43C89CCC7}">
      <formula1>$CW$5:$CW$18</formula1>
    </dataValidation>
    <dataValidation type="list" allowBlank="1" showInputMessage="1" showErrorMessage="1" sqref="CZ5:CZ18" xr:uid="{C4C5EE21-9F8A-4E80-9EA2-BB836628D98A}">
      <formula1>$DD$6:$DD$7</formula1>
    </dataValidation>
    <dataValidation allowBlank="1" showInputMessage="1" showErrorMessage="1" prompt="The sum of ration ingredients as a percent of the total dry matter in the diet must equal 100%." sqref="CF28:CG34 CF17:CG23 CF6:CG12 CF39 CF41:CG45 CG39:CG40" xr:uid="{028C403C-89A1-41E8-9B4C-7541750F78D3}"/>
    <dataValidation type="whole" allowBlank="1" showInputMessage="1" showErrorMessage="1" sqref="DJ30:DL30" xr:uid="{0CBE5DAF-16C8-47D0-B6B7-08EAB624897F}">
      <formula1>#REF!</formula1>
      <formula2>#REF!</formula2>
    </dataValidation>
  </dataValidations>
  <hyperlinks>
    <hyperlink ref="BG1:BJ2" location="'Lot 3'!A1" display="Return to navigation menu" xr:uid="{E3327873-AEAD-4F83-99D5-D760B5C5D18E}"/>
    <hyperlink ref="AG1:AJ2" location="'Lot 3'!A1" display="Return to navigation menu" xr:uid="{86CF9A25-9355-4208-A638-E115052BBD16}"/>
    <hyperlink ref="EC1:EF2" location="'Lot 3'!A1" display="Return to navigation menu" xr:uid="{E4AE97A8-EAF8-4C96-994E-C9CC282477DB}"/>
    <hyperlink ref="DR1:DU2" location="'Lot 3'!A1" display="Return to navigation menu" xr:uid="{26E6E410-4410-44E6-9F5E-2D24ACB63334}"/>
    <hyperlink ref="CP1:CS2" location="'Lot 3'!A1" display="Return to navigation menu" xr:uid="{5C07CFE3-A047-4528-B51C-D9EB99A64C51}"/>
    <hyperlink ref="EM1:EP2" location="'Lot 3'!A1" display="Return to navigation menu" xr:uid="{E640126F-7C2C-4AC7-A121-8B3AABD03783}"/>
    <hyperlink ref="DC1:DF2" location="'Lot 3'!A1" display="Return to navigation menu" xr:uid="{4FA70105-219C-4165-B8AE-D2DC99257713}"/>
    <hyperlink ref="CI1:CI2" location="'Lot 3'!A1" display="Return to navigation menu" xr:uid="{A3CB516F-6592-477A-984E-9159E10F64A6}"/>
    <hyperlink ref="L1:L2" location="'Lot 3'!A1" display="Return to navigation menu" xr:uid="{814CA9F0-137F-4570-B2CA-75DB0C67A51E}"/>
    <hyperlink ref="A11:F11" location="'Lot 3'!EB1" display="Grower-finisher budget" xr:uid="{81F887C8-74DA-440A-82AB-31B96F7AA406}"/>
    <hyperlink ref="A12:F12" location="'Lot 3'!EM1" display="Financial analysis" xr:uid="{512D6E5E-7E17-49CA-B1F4-9CA327F88699}"/>
    <hyperlink ref="A10:F10" location="'Lot 3'!DP1" display="Individual animal treatments" xr:uid="{63064DD8-1927-44CB-94A4-FF3D5CCB76FD}"/>
    <hyperlink ref="A5:F5" location="'Lot 3'!AH1" display="Lot summary" xr:uid="{F773EB57-3B8C-48EB-9B0C-C557E3F05398}"/>
    <hyperlink ref="A6:F6" location="'Lot 3'!BI1" display="Animal information" xr:uid="{8A65E947-56E6-4C46-8D2E-08D7E2A1E35F}"/>
    <hyperlink ref="A9:F9" location="'Lot 3'!DD1" display="Veterinary" xr:uid="{9BDA7E2E-5460-40B5-8384-885C11AAE936}"/>
    <hyperlink ref="A2:F2" location="'Lot 3'!L1" display="Inputs" xr:uid="{D1801515-A5DB-4578-8F0B-E1B274D095E7}"/>
    <hyperlink ref="A7:F7" location="'Lot 3'!BY1" display="Feed ration builder" xr:uid="{6C45883D-5C26-4B11-8631-112068C3E3FB}"/>
    <hyperlink ref="A8:F8" location="'Lot 3'!CR1" display="Feed summary" xr:uid="{F9A16E10-EFBF-48F1-A16F-C450145DEDBB}"/>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34EBDE8-F269-49B6-8A85-EAA04E174C35}">
          <x14:formula1>
            <xm:f>Feed!$B$4:$B$19</xm:f>
          </x14:formula1>
          <xm:sqref>CA6:CA11 CA28:CA33 CA39:CA44 CA50:CA55 CA17:CA22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FE07A-0FCF-439A-8BE4-84E92CD6E1F3}">
  <dimension ref="A1:EP121"/>
  <sheetViews>
    <sheetView showGridLines="0" workbookViewId="0">
      <selection sqref="A1:F1"/>
    </sheetView>
  </sheetViews>
  <sheetFormatPr defaultColWidth="11.28515625" defaultRowHeight="18.95" customHeight="1" x14ac:dyDescent="0.25"/>
  <cols>
    <col min="1" max="6" width="11.28515625" style="216"/>
    <col min="7" max="7" width="199.7109375" style="216" customWidth="1"/>
    <col min="8" max="8" width="11.28515625" style="216"/>
    <col min="9" max="9" width="46" style="216" bestFit="1" customWidth="1"/>
    <col min="10" max="10" width="11.28515625" style="216"/>
    <col min="11" max="11" width="14.42578125" style="216" bestFit="1" customWidth="1"/>
    <col min="12" max="12" width="34.7109375" style="216" bestFit="1" customWidth="1"/>
    <col min="13" max="13" width="141.28515625" style="216" customWidth="1"/>
    <col min="14" max="16" width="11.28515625" style="216"/>
    <col min="17" max="17" width="13.42578125" style="216" customWidth="1"/>
    <col min="18" max="25" width="11.28515625" style="216"/>
    <col min="26" max="26" width="6.7109375" style="216" customWidth="1"/>
    <col min="27" max="28" width="11.28515625" style="216"/>
    <col min="29" max="29" width="14.5703125" style="216" customWidth="1"/>
    <col min="30" max="30" width="13.28515625" style="216" customWidth="1"/>
    <col min="31" max="31" width="13.140625" style="216" customWidth="1"/>
    <col min="32" max="32" width="14.5703125" style="216" customWidth="1"/>
    <col min="33" max="40" width="11.28515625" style="216"/>
    <col min="41" max="41" width="7.140625" style="216" customWidth="1"/>
    <col min="42" max="43" width="11.28515625" style="216"/>
    <col min="44" max="44" width="11" style="216" customWidth="1"/>
    <col min="45" max="45" width="8.7109375" style="216" customWidth="1"/>
    <col min="46" max="46" width="0" style="216" hidden="1" customWidth="1"/>
    <col min="47" max="47" width="16.28515625" style="216" customWidth="1"/>
    <col min="48" max="48" width="11.28515625" style="216"/>
    <col min="49" max="49" width="18.85546875" style="216" bestFit="1" customWidth="1"/>
    <col min="50" max="50" width="11.28515625" style="216"/>
    <col min="51" max="51" width="16.28515625" style="216" customWidth="1"/>
    <col min="52" max="52" width="11.28515625" style="216"/>
    <col min="53" max="53" width="16.28515625" style="216" customWidth="1"/>
    <col min="54" max="54" width="11.28515625" style="216"/>
    <col min="55" max="55" width="11.28515625" style="411"/>
    <col min="56" max="62" width="11.28515625" style="216"/>
    <col min="63" max="64" width="11.28515625" style="213"/>
    <col min="65" max="65" width="11.28515625" style="216"/>
    <col min="66" max="66" width="29.28515625" style="216" customWidth="1"/>
    <col min="67" max="67" width="19.7109375" style="216" customWidth="1"/>
    <col min="68" max="68" width="19.85546875" style="216" customWidth="1"/>
    <col min="69" max="69" width="11.28515625" style="216"/>
    <col min="70" max="73" width="0" style="216" hidden="1" customWidth="1"/>
    <col min="74" max="74" width="24.85546875" style="216" customWidth="1"/>
    <col min="75" max="75" width="15.85546875" style="216" customWidth="1"/>
    <col min="76" max="76" width="16.28515625" style="216" customWidth="1"/>
    <col min="77" max="77" width="16.5703125" style="216" customWidth="1"/>
    <col min="78" max="78" width="11.28515625" style="216"/>
    <col min="79" max="79" width="35.28515625" style="216" customWidth="1"/>
    <col min="80" max="80" width="13.28515625" style="216" customWidth="1"/>
    <col min="81" max="81" width="14" style="216" customWidth="1"/>
    <col min="82" max="82" width="11.28515625" style="216"/>
    <col min="83" max="83" width="13.7109375" style="216" customWidth="1"/>
    <col min="84" max="84" width="11.28515625" style="216"/>
    <col min="85" max="85" width="13.7109375" style="216" customWidth="1"/>
    <col min="86" max="86" width="13.5703125" style="216" customWidth="1"/>
    <col min="87" max="87" width="34.7109375" style="216" bestFit="1" customWidth="1"/>
    <col min="88" max="88" width="141.85546875" style="216" customWidth="1"/>
    <col min="89" max="90" width="11.28515625" style="216"/>
    <col min="91" max="91" width="30" style="216" customWidth="1"/>
    <col min="92" max="92" width="12.28515625" style="216" customWidth="1"/>
    <col min="93" max="93" width="15.140625" style="216" customWidth="1"/>
    <col min="94" max="97" width="11.28515625" style="216"/>
    <col min="98" max="98" width="49.28515625" style="216" customWidth="1"/>
    <col min="99" max="99" width="93.28515625" style="216" customWidth="1"/>
    <col min="100" max="100" width="11.28515625" style="216"/>
    <col min="101" max="101" width="19.42578125" style="216" customWidth="1"/>
    <col min="102" max="102" width="23" style="216" customWidth="1"/>
    <col min="103" max="103" width="12.42578125" style="216" customWidth="1"/>
    <col min="104" max="104" width="14.85546875" style="216" customWidth="1"/>
    <col min="105" max="105" width="12.140625" style="216" customWidth="1"/>
    <col min="106" max="106" width="13.28515625" style="216" customWidth="1"/>
    <col min="107" max="110" width="11.28515625" style="216"/>
    <col min="111" max="111" width="155.28515625" style="216" customWidth="1"/>
    <col min="112" max="112" width="17.85546875" style="216" customWidth="1"/>
    <col min="113" max="116" width="11.28515625" style="216"/>
    <col min="117" max="117" width="22.140625" style="216" customWidth="1"/>
    <col min="118" max="118" width="23.140625" style="216" customWidth="1"/>
    <col min="119" max="119" width="12.85546875" style="216" customWidth="1"/>
    <col min="120" max="120" width="17.5703125" style="216" customWidth="1"/>
    <col min="121" max="121" width="14.140625" style="216" customWidth="1"/>
    <col min="122" max="125" width="11.28515625" style="216"/>
    <col min="126" max="126" width="169.7109375" style="216" customWidth="1"/>
    <col min="127" max="128" width="11.28515625" style="216"/>
    <col min="129" max="129" width="18.85546875" style="216" bestFit="1" customWidth="1"/>
    <col min="130" max="130" width="29.140625" style="216" customWidth="1"/>
    <col min="131" max="131" width="11.85546875" style="216" bestFit="1" customWidth="1"/>
    <col min="132" max="132" width="12.5703125" style="216" customWidth="1"/>
    <col min="133" max="136" width="11.28515625" style="216"/>
    <col min="137" max="137" width="176.42578125" style="216" customWidth="1"/>
    <col min="138" max="140" width="11.28515625" style="216"/>
    <col min="141" max="141" width="26.28515625" style="216" bestFit="1" customWidth="1"/>
    <col min="142" max="142" width="13.28515625" style="216" customWidth="1"/>
    <col min="143" max="16384" width="11.28515625" style="216"/>
  </cols>
  <sheetData>
    <row r="1" spans="1:146" ht="24" thickBot="1" x14ac:dyDescent="0.3">
      <c r="A1" s="586" t="s">
        <v>272</v>
      </c>
      <c r="B1" s="587"/>
      <c r="C1" s="587"/>
      <c r="D1" s="587"/>
      <c r="E1" s="587"/>
      <c r="F1" s="588"/>
      <c r="G1" s="209"/>
      <c r="H1" s="210"/>
      <c r="I1" s="589" t="s">
        <v>331</v>
      </c>
      <c r="J1" s="590"/>
      <c r="K1" s="591"/>
      <c r="L1" s="592" t="s">
        <v>200</v>
      </c>
      <c r="M1" s="209"/>
      <c r="N1" s="209"/>
      <c r="O1" s="9"/>
      <c r="P1" s="593" t="s">
        <v>286</v>
      </c>
      <c r="Q1" s="594"/>
      <c r="R1" s="594"/>
      <c r="S1" s="594"/>
      <c r="T1" s="594"/>
      <c r="U1" s="594"/>
      <c r="V1" s="594"/>
      <c r="W1" s="594"/>
      <c r="X1" s="594"/>
      <c r="Y1" s="594"/>
      <c r="Z1" s="594"/>
      <c r="AA1" s="594"/>
      <c r="AB1" s="594"/>
      <c r="AC1" s="594"/>
      <c r="AD1" s="594"/>
      <c r="AE1" s="594"/>
      <c r="AF1" s="211"/>
      <c r="AG1" s="579" t="s">
        <v>200</v>
      </c>
      <c r="AH1" s="579"/>
      <c r="AI1" s="579"/>
      <c r="AJ1" s="579"/>
      <c r="AK1" s="9"/>
      <c r="AL1" s="209"/>
      <c r="AM1" s="9"/>
      <c r="AN1" s="595" t="s">
        <v>264</v>
      </c>
      <c r="AO1" s="596"/>
      <c r="AP1" s="596"/>
      <c r="AQ1" s="596"/>
      <c r="AR1" s="596"/>
      <c r="AS1" s="596"/>
      <c r="AT1" s="596"/>
      <c r="AU1" s="596"/>
      <c r="AV1" s="596"/>
      <c r="AW1" s="596"/>
      <c r="AX1" s="596"/>
      <c r="AY1" s="596"/>
      <c r="AZ1" s="596"/>
      <c r="BA1" s="596"/>
      <c r="BB1" s="596"/>
      <c r="BC1" s="596"/>
      <c r="BD1" s="596"/>
      <c r="BE1" s="596"/>
      <c r="BF1" s="597"/>
      <c r="BG1" s="579" t="s">
        <v>200</v>
      </c>
      <c r="BH1" s="579"/>
      <c r="BI1" s="579"/>
      <c r="BJ1" s="579"/>
      <c r="BM1" s="9"/>
      <c r="BN1" s="613" t="s">
        <v>327</v>
      </c>
      <c r="BO1" s="613"/>
      <c r="BP1" s="613"/>
      <c r="BQ1" s="613"/>
      <c r="BR1" s="613"/>
      <c r="BS1" s="613"/>
      <c r="BT1" s="613"/>
      <c r="BU1" s="613"/>
      <c r="BV1" s="613"/>
      <c r="BW1" s="613"/>
      <c r="BX1" s="613"/>
      <c r="BY1" s="613"/>
      <c r="BZ1" s="613"/>
      <c r="CA1" s="613"/>
      <c r="CB1" s="613"/>
      <c r="CC1" s="613"/>
      <c r="CD1" s="613"/>
      <c r="CE1" s="613"/>
      <c r="CF1" s="613"/>
      <c r="CG1" s="613"/>
      <c r="CH1" s="613"/>
      <c r="CI1" s="579" t="s">
        <v>200</v>
      </c>
      <c r="CJ1" s="214"/>
      <c r="CK1" s="214"/>
      <c r="CL1" s="215"/>
      <c r="CM1" s="580" t="s">
        <v>203</v>
      </c>
      <c r="CN1" s="581"/>
      <c r="CO1" s="582"/>
      <c r="CP1" s="579" t="s">
        <v>200</v>
      </c>
      <c r="CQ1" s="579"/>
      <c r="CR1" s="579"/>
      <c r="CS1" s="579"/>
      <c r="CV1" s="9"/>
      <c r="CW1" s="583" t="s">
        <v>281</v>
      </c>
      <c r="CX1" s="584"/>
      <c r="CY1" s="584"/>
      <c r="CZ1" s="584"/>
      <c r="DA1" s="584"/>
      <c r="DB1" s="585"/>
      <c r="DC1" s="579" t="s">
        <v>200</v>
      </c>
      <c r="DD1" s="579"/>
      <c r="DE1" s="579"/>
      <c r="DF1" s="579"/>
      <c r="DI1" s="9"/>
      <c r="DJ1" s="583" t="s">
        <v>196</v>
      </c>
      <c r="DK1" s="584"/>
      <c r="DL1" s="584"/>
      <c r="DM1" s="584"/>
      <c r="DN1" s="584"/>
      <c r="DO1" s="584"/>
      <c r="DP1" s="584"/>
      <c r="DQ1" s="585"/>
      <c r="DR1" s="579" t="s">
        <v>200</v>
      </c>
      <c r="DS1" s="579"/>
      <c r="DT1" s="579"/>
      <c r="DU1" s="579"/>
      <c r="DX1" s="9"/>
      <c r="DY1" s="610" t="s">
        <v>246</v>
      </c>
      <c r="DZ1" s="611"/>
      <c r="EA1" s="611"/>
      <c r="EB1" s="612"/>
      <c r="EC1" s="579" t="s">
        <v>200</v>
      </c>
      <c r="ED1" s="579"/>
      <c r="EE1" s="579"/>
      <c r="EF1" s="579"/>
      <c r="EJ1" s="9"/>
      <c r="EK1" s="610" t="s">
        <v>253</v>
      </c>
      <c r="EL1" s="612"/>
      <c r="EM1" s="579" t="s">
        <v>200</v>
      </c>
      <c r="EN1" s="579"/>
      <c r="EO1" s="579"/>
      <c r="EP1" s="579"/>
    </row>
    <row r="2" spans="1:146" s="183" customFormat="1" ht="45.75" thickBot="1" x14ac:dyDescent="0.3">
      <c r="A2" s="598" t="s">
        <v>331</v>
      </c>
      <c r="B2" s="599"/>
      <c r="C2" s="599"/>
      <c r="D2" s="599"/>
      <c r="E2" s="599"/>
      <c r="F2" s="600"/>
      <c r="G2" s="164"/>
      <c r="H2" s="165"/>
      <c r="I2" s="490" t="s">
        <v>249</v>
      </c>
      <c r="J2" s="491" t="s">
        <v>332</v>
      </c>
      <c r="K2" s="492" t="s">
        <v>333</v>
      </c>
      <c r="L2" s="592"/>
      <c r="M2" s="164"/>
      <c r="N2" s="164"/>
      <c r="O2" s="166"/>
      <c r="P2" s="163" t="s">
        <v>188</v>
      </c>
      <c r="Q2" s="167" t="s">
        <v>109</v>
      </c>
      <c r="R2" s="167" t="s">
        <v>412</v>
      </c>
      <c r="S2" s="167" t="s">
        <v>107</v>
      </c>
      <c r="T2" s="167" t="s">
        <v>413</v>
      </c>
      <c r="U2" s="167" t="s">
        <v>282</v>
      </c>
      <c r="V2" s="168" t="s">
        <v>285</v>
      </c>
      <c r="W2" s="169" t="s">
        <v>185</v>
      </c>
      <c r="X2" s="170" t="s">
        <v>108</v>
      </c>
      <c r="Y2" s="171" t="s">
        <v>414</v>
      </c>
      <c r="Z2" s="170" t="s">
        <v>350</v>
      </c>
      <c r="AA2" s="170" t="s">
        <v>412</v>
      </c>
      <c r="AB2" s="170" t="s">
        <v>287</v>
      </c>
      <c r="AC2" s="170" t="s">
        <v>185</v>
      </c>
      <c r="AD2" s="170" t="s">
        <v>108</v>
      </c>
      <c r="AE2" s="170" t="s">
        <v>414</v>
      </c>
      <c r="AF2" s="171" t="s">
        <v>137</v>
      </c>
      <c r="AG2" s="579"/>
      <c r="AH2" s="579"/>
      <c r="AI2" s="579"/>
      <c r="AJ2" s="579"/>
      <c r="AK2" s="166"/>
      <c r="AL2" s="164"/>
      <c r="AM2" s="166"/>
      <c r="AN2" s="601" t="s">
        <v>278</v>
      </c>
      <c r="AO2" s="602"/>
      <c r="AP2" s="602"/>
      <c r="AQ2" s="603"/>
      <c r="AR2" s="517"/>
      <c r="AS2" s="604"/>
      <c r="AT2" s="605"/>
      <c r="AU2" s="606"/>
      <c r="AV2" s="604"/>
      <c r="AW2" s="606"/>
      <c r="AX2" s="604"/>
      <c r="AY2" s="606"/>
      <c r="AZ2" s="604"/>
      <c r="BA2" s="605"/>
      <c r="BB2" s="607" t="s">
        <v>187</v>
      </c>
      <c r="BC2" s="608"/>
      <c r="BD2" s="608"/>
      <c r="BE2" s="608"/>
      <c r="BF2" s="609"/>
      <c r="BG2" s="579"/>
      <c r="BH2" s="579"/>
      <c r="BI2" s="579"/>
      <c r="BJ2" s="579"/>
      <c r="BK2" s="173"/>
      <c r="BL2" s="173"/>
      <c r="BM2" s="166"/>
      <c r="BN2" s="494" t="s">
        <v>345</v>
      </c>
      <c r="BO2" s="495">
        <f>MIN(AP6:AP55)</f>
        <v>0</v>
      </c>
      <c r="BP2" s="496" t="s">
        <v>346</v>
      </c>
      <c r="BQ2" s="495">
        <f>MAX(AR2:BB2)</f>
        <v>0</v>
      </c>
      <c r="BR2" s="177"/>
      <c r="BS2" s="177"/>
      <c r="BT2" s="177"/>
      <c r="BU2" s="177"/>
      <c r="BV2" s="166"/>
      <c r="BW2" s="166"/>
      <c r="BX2" s="166"/>
      <c r="BY2" s="166"/>
      <c r="BZ2" s="166"/>
      <c r="CA2" s="166"/>
      <c r="CB2" s="166"/>
      <c r="CC2" s="166"/>
      <c r="CD2" s="166"/>
      <c r="CE2" s="166"/>
      <c r="CF2" s="166"/>
      <c r="CG2" s="166"/>
      <c r="CH2" s="166"/>
      <c r="CI2" s="579"/>
      <c r="CJ2" s="178"/>
      <c r="CK2" s="178"/>
      <c r="CL2" s="179"/>
      <c r="CM2" s="180" t="s">
        <v>220</v>
      </c>
      <c r="CN2" s="181" t="s">
        <v>296</v>
      </c>
      <c r="CO2" s="182" t="s">
        <v>329</v>
      </c>
      <c r="CP2" s="579"/>
      <c r="CQ2" s="579"/>
      <c r="CR2" s="579"/>
      <c r="CS2" s="579"/>
      <c r="CV2" s="166"/>
      <c r="CW2" s="184" t="s">
        <v>304</v>
      </c>
      <c r="CX2" s="185" t="s">
        <v>305</v>
      </c>
      <c r="CY2" s="185" t="s">
        <v>415</v>
      </c>
      <c r="CZ2" s="185" t="s">
        <v>310</v>
      </c>
      <c r="DA2" s="185" t="s">
        <v>416</v>
      </c>
      <c r="DB2" s="186" t="s">
        <v>197</v>
      </c>
      <c r="DC2" s="579"/>
      <c r="DD2" s="579"/>
      <c r="DE2" s="579"/>
      <c r="DF2" s="579"/>
      <c r="DI2" s="166"/>
      <c r="DJ2" s="184" t="s">
        <v>195</v>
      </c>
      <c r="DK2" s="185" t="s">
        <v>348</v>
      </c>
      <c r="DL2" s="185" t="s">
        <v>349</v>
      </c>
      <c r="DM2" s="185" t="s">
        <v>322</v>
      </c>
      <c r="DN2" s="185" t="s">
        <v>321</v>
      </c>
      <c r="DO2" s="190" t="s">
        <v>417</v>
      </c>
      <c r="DP2" s="185" t="s">
        <v>199</v>
      </c>
      <c r="DQ2" s="186" t="s">
        <v>197</v>
      </c>
      <c r="DR2" s="579"/>
      <c r="DS2" s="579"/>
      <c r="DT2" s="579"/>
      <c r="DU2" s="579"/>
      <c r="DX2" s="166"/>
      <c r="DY2" s="163" t="s">
        <v>249</v>
      </c>
      <c r="DZ2" s="167" t="s">
        <v>110</v>
      </c>
      <c r="EA2" s="167"/>
      <c r="EB2" s="187"/>
      <c r="EC2" s="579"/>
      <c r="ED2" s="579"/>
      <c r="EE2" s="579"/>
      <c r="EF2" s="579"/>
      <c r="EJ2" s="166"/>
      <c r="EK2" s="188" t="s">
        <v>249</v>
      </c>
      <c r="EL2" s="189" t="s">
        <v>258</v>
      </c>
      <c r="EM2" s="579"/>
      <c r="EN2" s="579"/>
      <c r="EO2" s="579"/>
      <c r="EP2" s="579"/>
    </row>
    <row r="3" spans="1:146" ht="18.95" hidden="1" customHeight="1" x14ac:dyDescent="0.25">
      <c r="A3" s="614"/>
      <c r="B3" s="615"/>
      <c r="C3" s="615"/>
      <c r="D3" s="615"/>
      <c r="E3" s="615"/>
      <c r="F3" s="616"/>
      <c r="G3" s="209"/>
      <c r="H3" s="210"/>
      <c r="I3" s="220"/>
      <c r="J3" s="210"/>
      <c r="K3" s="221"/>
      <c r="L3" s="210"/>
      <c r="M3" s="209"/>
      <c r="N3" s="209"/>
      <c r="O3" s="9"/>
      <c r="P3" s="222"/>
      <c r="Q3" s="223"/>
      <c r="R3" s="223"/>
      <c r="S3" s="223"/>
      <c r="T3" s="223"/>
      <c r="U3" s="223"/>
      <c r="V3" s="224"/>
      <c r="W3" s="225"/>
      <c r="X3" s="226"/>
      <c r="Y3" s="227"/>
      <c r="Z3" s="226"/>
      <c r="AA3" s="226"/>
      <c r="AB3" s="226"/>
      <c r="AC3" s="226"/>
      <c r="AD3" s="226"/>
      <c r="AE3" s="226"/>
      <c r="AF3" s="226"/>
      <c r="AG3" s="212"/>
      <c r="AH3" s="212"/>
      <c r="AI3" s="212"/>
      <c r="AJ3" s="212"/>
      <c r="AK3" s="9"/>
      <c r="AL3" s="209"/>
      <c r="AM3" s="9"/>
      <c r="AN3" s="228"/>
      <c r="AO3" s="229" t="s">
        <v>347</v>
      </c>
      <c r="AP3" s="229"/>
      <c r="AQ3" s="229"/>
      <c r="AR3" s="230">
        <v>1</v>
      </c>
      <c r="AS3" s="230">
        <v>2</v>
      </c>
      <c r="AT3" s="231"/>
      <c r="AU3" s="232"/>
      <c r="AV3" s="230">
        <v>3</v>
      </c>
      <c r="AW3" s="232"/>
      <c r="AX3" s="230">
        <v>4</v>
      </c>
      <c r="AY3" s="232"/>
      <c r="AZ3" s="230">
        <v>5</v>
      </c>
      <c r="BA3" s="231"/>
      <c r="BB3" s="233"/>
      <c r="BC3" s="509"/>
      <c r="BD3" s="234"/>
      <c r="BE3" s="234"/>
      <c r="BF3" s="235"/>
      <c r="BG3" s="212"/>
      <c r="BH3" s="212"/>
      <c r="BI3" s="212"/>
      <c r="BJ3" s="212"/>
      <c r="BM3" s="9"/>
      <c r="BN3" s="9"/>
      <c r="BO3" s="9"/>
      <c r="BP3" s="9"/>
      <c r="BQ3" s="9"/>
      <c r="BR3" s="9"/>
      <c r="BS3" s="9"/>
      <c r="BT3" s="9"/>
      <c r="BU3" s="9"/>
      <c r="BV3" s="9"/>
      <c r="BW3" s="9"/>
      <c r="BX3" s="9"/>
      <c r="BY3" s="9"/>
      <c r="BZ3" s="9"/>
      <c r="CA3" s="9"/>
      <c r="CB3" s="9"/>
      <c r="CC3" s="9"/>
      <c r="CD3" s="9"/>
      <c r="CE3" s="9"/>
      <c r="CF3" s="9"/>
      <c r="CG3" s="9"/>
      <c r="CH3" s="9"/>
      <c r="CI3" s="9"/>
      <c r="CL3" s="9"/>
      <c r="CM3" s="236"/>
      <c r="CN3" s="237"/>
      <c r="CO3" s="238"/>
      <c r="CP3" s="212"/>
      <c r="CQ3" s="212"/>
      <c r="CR3" s="212"/>
      <c r="CS3" s="212"/>
      <c r="CV3" s="9"/>
      <c r="CW3" s="239"/>
      <c r="CX3" s="12"/>
      <c r="CY3" s="12"/>
      <c r="CZ3" s="12"/>
      <c r="DA3" s="12"/>
      <c r="DB3" s="240"/>
      <c r="DC3" s="212"/>
      <c r="DD3" s="212"/>
      <c r="DE3" s="212"/>
      <c r="DF3" s="212"/>
      <c r="DI3" s="9"/>
      <c r="DJ3" s="239"/>
      <c r="DK3" s="12"/>
      <c r="DL3" s="12"/>
      <c r="DM3" s="12"/>
      <c r="DN3" s="12"/>
      <c r="DO3" s="12"/>
      <c r="DP3" s="12"/>
      <c r="DQ3" s="240"/>
      <c r="DR3" s="212"/>
      <c r="DS3" s="212"/>
      <c r="DT3" s="212"/>
      <c r="DU3" s="212"/>
      <c r="DX3" s="9"/>
      <c r="DY3" s="222"/>
      <c r="DZ3" s="223"/>
      <c r="EA3" s="223"/>
      <c r="EB3" s="241"/>
      <c r="EC3" s="212"/>
      <c r="ED3" s="212"/>
      <c r="EE3" s="212"/>
      <c r="EF3" s="212"/>
      <c r="EJ3" s="9"/>
      <c r="EK3" s="242"/>
      <c r="EL3" s="243"/>
      <c r="EM3" s="212"/>
      <c r="EN3" s="212"/>
      <c r="EO3" s="212"/>
      <c r="EP3" s="212"/>
    </row>
    <row r="4" spans="1:146" ht="21" hidden="1" customHeight="1" thickBot="1" x14ac:dyDescent="0.3">
      <c r="A4" s="217"/>
      <c r="B4" s="218"/>
      <c r="C4" s="218"/>
      <c r="D4" s="218"/>
      <c r="E4" s="218"/>
      <c r="F4" s="219"/>
      <c r="G4" s="244"/>
      <c r="H4" s="245"/>
      <c r="I4" s="246"/>
      <c r="J4" s="247"/>
      <c r="K4" s="248"/>
      <c r="L4" s="245"/>
      <c r="M4" s="244"/>
      <c r="N4" s="244"/>
      <c r="O4" s="9"/>
      <c r="P4" s="222"/>
      <c r="R4" s="223"/>
      <c r="S4" s="223"/>
      <c r="T4" s="223"/>
      <c r="U4" s="223"/>
      <c r="V4" s="224"/>
      <c r="W4" s="225"/>
      <c r="X4" s="226"/>
      <c r="Y4" s="227"/>
      <c r="Z4" s="226"/>
      <c r="AA4" s="226"/>
      <c r="AB4" s="226"/>
      <c r="AC4" s="226"/>
      <c r="AD4" s="226"/>
      <c r="AE4" s="226"/>
      <c r="AF4" s="226"/>
      <c r="AG4" s="212"/>
      <c r="AH4" s="212"/>
      <c r="AI4" s="212"/>
      <c r="AJ4" s="212"/>
      <c r="AK4" s="9"/>
      <c r="AL4" s="244"/>
      <c r="AM4" s="9"/>
      <c r="AN4" s="228"/>
      <c r="AO4" s="249" t="str">
        <f>V15</f>
        <v>-</v>
      </c>
      <c r="AP4" s="250" t="e">
        <f>AVERAGE(AP6:AP55)</f>
        <v>#DIV/0!</v>
      </c>
      <c r="AQ4" s="229"/>
      <c r="AR4" s="251"/>
      <c r="AS4" s="252"/>
      <c r="AT4" s="234"/>
      <c r="AU4" s="232">
        <f>IF(ISBLANK(AS2),0,DAYS360($AR$2,AS2,FALSE))</f>
        <v>0</v>
      </c>
      <c r="AV4" s="252"/>
      <c r="AW4" s="232">
        <f>IF(ISBLANK(AV2),0,DAYS360(AS2,AV2,FALSE))</f>
        <v>0</v>
      </c>
      <c r="AX4" s="252"/>
      <c r="AY4" s="232">
        <f>IF(ISBLANK(AX2),0,DAYS360(AV2,AX2,FALSE))</f>
        <v>0</v>
      </c>
      <c r="AZ4" s="252"/>
      <c r="BA4" s="253">
        <f>DAYS360(MAX(AR2,AS2,AV2,AX2),AZ2,FALSE)</f>
        <v>0</v>
      </c>
      <c r="BB4" s="233">
        <f>IF(ISBLANK(AZ2),0,DAYS360($AR$2,AZ2,FALSE))</f>
        <v>0</v>
      </c>
      <c r="BC4" s="510"/>
      <c r="BD4" s="234"/>
      <c r="BE4" s="234"/>
      <c r="BF4" s="235"/>
      <c r="BG4" s="9"/>
      <c r="BH4" s="9"/>
      <c r="BI4" s="9"/>
      <c r="BJ4" s="9"/>
      <c r="BM4" s="9"/>
      <c r="BN4" s="9"/>
      <c r="BO4" s="9"/>
      <c r="BP4" s="9"/>
      <c r="BQ4" s="9"/>
      <c r="BR4" s="9"/>
      <c r="BS4" s="9"/>
      <c r="BT4" s="9"/>
      <c r="BU4" s="9"/>
      <c r="BV4" s="9"/>
      <c r="BW4" s="9"/>
      <c r="BX4" s="9"/>
      <c r="BY4" s="9"/>
      <c r="BZ4" s="9"/>
      <c r="CA4" s="9"/>
      <c r="CB4" s="9"/>
      <c r="CC4" s="9"/>
      <c r="CD4" s="9"/>
      <c r="CE4" s="9"/>
      <c r="CF4" s="9"/>
      <c r="CG4" s="9"/>
      <c r="CH4" s="9"/>
      <c r="CI4" s="9"/>
      <c r="CL4" s="9"/>
      <c r="CM4" s="254" t="s">
        <v>223</v>
      </c>
      <c r="CN4" s="255"/>
      <c r="CO4" s="256">
        <v>6.75</v>
      </c>
      <c r="CP4" s="212"/>
      <c r="CQ4" s="212"/>
      <c r="CR4" s="212"/>
      <c r="CS4" s="212"/>
      <c r="CV4" s="9"/>
      <c r="CW4" s="239"/>
      <c r="CX4" s="12"/>
      <c r="CY4" s="12"/>
      <c r="CZ4" s="12"/>
      <c r="DA4" s="12"/>
      <c r="DB4" s="240"/>
      <c r="DC4" s="212"/>
      <c r="DD4" s="212"/>
      <c r="DE4" s="212"/>
      <c r="DF4" s="212"/>
      <c r="DI4" s="9"/>
      <c r="DJ4" s="239"/>
      <c r="DK4" s="12"/>
      <c r="DL4" s="12"/>
      <c r="DM4" s="12"/>
      <c r="DN4" s="12"/>
      <c r="DO4" s="12"/>
      <c r="DP4" s="12"/>
      <c r="DQ4" s="240"/>
      <c r="DR4" s="212"/>
      <c r="DS4" s="212"/>
      <c r="DT4" s="212"/>
      <c r="DU4" s="212"/>
      <c r="DX4" s="9"/>
      <c r="DY4" s="222"/>
      <c r="DZ4" s="223"/>
      <c r="EA4" s="223"/>
      <c r="EB4" s="241"/>
      <c r="EC4" s="212"/>
      <c r="ED4" s="212"/>
      <c r="EE4" s="212"/>
      <c r="EF4" s="212"/>
      <c r="EJ4" s="9"/>
      <c r="EK4" s="242"/>
      <c r="EL4" s="243"/>
      <c r="EM4" s="212"/>
      <c r="EN4" s="212"/>
      <c r="EO4" s="212"/>
      <c r="EP4" s="212"/>
    </row>
    <row r="5" spans="1:146" ht="31.5" x14ac:dyDescent="0.25">
      <c r="A5" s="614" t="s">
        <v>186</v>
      </c>
      <c r="B5" s="615"/>
      <c r="C5" s="615"/>
      <c r="D5" s="615"/>
      <c r="E5" s="615"/>
      <c r="F5" s="616"/>
      <c r="G5" s="244"/>
      <c r="H5" s="245"/>
      <c r="I5" s="257" t="s">
        <v>334</v>
      </c>
      <c r="J5" s="456"/>
      <c r="K5" s="258" t="s">
        <v>54</v>
      </c>
      <c r="L5" s="245"/>
      <c r="M5" s="244"/>
      <c r="N5" s="244"/>
      <c r="O5" s="259">
        <f>R5</f>
        <v>0</v>
      </c>
      <c r="P5" s="260">
        <v>1</v>
      </c>
      <c r="Q5" s="461"/>
      <c r="R5" s="261">
        <f>U5-T5+IF(ISBLANK(T5),0,1)</f>
        <v>0</v>
      </c>
      <c r="S5" s="463"/>
      <c r="T5" s="464"/>
      <c r="U5" s="465"/>
      <c r="V5" s="466"/>
      <c r="W5" s="467"/>
      <c r="X5" s="262">
        <f>IFERROR(V5/100*W5*R5,0)</f>
        <v>0</v>
      </c>
      <c r="Y5" s="263" t="str">
        <f>IFERROR(X5/R5,"-")</f>
        <v>-</v>
      </c>
      <c r="Z5" s="264">
        <v>1</v>
      </c>
      <c r="AA5" s="474"/>
      <c r="AB5" s="474"/>
      <c r="AC5" s="467"/>
      <c r="AD5" s="262">
        <f>IFERROR(AB5/100*AC5*R5,0)</f>
        <v>0</v>
      </c>
      <c r="AE5" s="265" t="str">
        <f>IFERROR(AD5/R5,"-")</f>
        <v>-</v>
      </c>
      <c r="AF5" s="266" t="str">
        <f>IFERROR(IF(AE5&lt;1,0,AE5-Y5-$CO$18),"-")</f>
        <v>-</v>
      </c>
      <c r="AG5" s="212"/>
      <c r="AH5" s="212"/>
      <c r="AI5" s="212"/>
      <c r="AJ5" s="212"/>
      <c r="AK5" s="9"/>
      <c r="AL5" s="244"/>
      <c r="AM5" s="9"/>
      <c r="AN5" s="267" t="s">
        <v>129</v>
      </c>
      <c r="AO5" s="185" t="s">
        <v>188</v>
      </c>
      <c r="AP5" s="268" t="s">
        <v>189</v>
      </c>
      <c r="AQ5" s="268" t="s">
        <v>136</v>
      </c>
      <c r="AR5" s="520" t="s">
        <v>423</v>
      </c>
      <c r="AS5" s="269" t="s">
        <v>131</v>
      </c>
      <c r="AT5" s="268" t="s">
        <v>279</v>
      </c>
      <c r="AU5" s="518" t="s">
        <v>130</v>
      </c>
      <c r="AV5" s="269" t="s">
        <v>132</v>
      </c>
      <c r="AW5" s="518" t="s">
        <v>130</v>
      </c>
      <c r="AX5" s="269" t="s">
        <v>133</v>
      </c>
      <c r="AY5" s="518" t="s">
        <v>130</v>
      </c>
      <c r="AZ5" s="269" t="s">
        <v>365</v>
      </c>
      <c r="BA5" s="519" t="s">
        <v>130</v>
      </c>
      <c r="BB5" s="271" t="s">
        <v>102</v>
      </c>
      <c r="BC5" s="511" t="s">
        <v>280</v>
      </c>
      <c r="BD5" s="190" t="s">
        <v>134</v>
      </c>
      <c r="BE5" s="190" t="s">
        <v>194</v>
      </c>
      <c r="BF5" s="272" t="s">
        <v>137</v>
      </c>
      <c r="BG5" s="9"/>
      <c r="BH5" s="9"/>
      <c r="BI5" s="9"/>
      <c r="BJ5" s="9"/>
      <c r="BM5" s="9"/>
      <c r="BN5" s="617" t="s">
        <v>219</v>
      </c>
      <c r="BO5" s="618"/>
      <c r="BP5" s="618"/>
      <c r="BQ5" s="618"/>
      <c r="BR5" s="618"/>
      <c r="BS5" s="618"/>
      <c r="BT5" s="618"/>
      <c r="BU5" s="618"/>
      <c r="BV5" s="618"/>
      <c r="BW5" s="618"/>
      <c r="BX5" s="618"/>
      <c r="BY5" s="619"/>
      <c r="BZ5" s="9"/>
      <c r="CA5" s="273" t="str">
        <f>IF(BN7=$BN$17,"-",BN7)</f>
        <v>-</v>
      </c>
      <c r="CB5" s="54" t="s">
        <v>328</v>
      </c>
      <c r="CC5" s="54" t="s">
        <v>205</v>
      </c>
      <c r="CD5" s="54" t="s">
        <v>95</v>
      </c>
      <c r="CE5" s="54" t="s">
        <v>326</v>
      </c>
      <c r="CF5" s="54" t="s">
        <v>206</v>
      </c>
      <c r="CG5" s="54" t="s">
        <v>234</v>
      </c>
      <c r="CH5" s="274" t="s">
        <v>209</v>
      </c>
      <c r="CI5" s="9"/>
      <c r="CL5" s="9"/>
      <c r="CM5" s="254" t="str">
        <f>CA5</f>
        <v>-</v>
      </c>
      <c r="CN5" s="275">
        <f>BQ7</f>
        <v>0</v>
      </c>
      <c r="CO5" s="276">
        <f>CG13</f>
        <v>0</v>
      </c>
      <c r="CP5" s="277">
        <f>CE13</f>
        <v>0</v>
      </c>
      <c r="CQ5" s="277">
        <f>IFERROR(CH14,0)</f>
        <v>0</v>
      </c>
      <c r="CR5" s="212"/>
      <c r="CS5" s="212"/>
      <c r="CV5" s="9"/>
      <c r="CW5" s="484"/>
      <c r="CX5" s="485"/>
      <c r="CY5" s="487"/>
      <c r="CZ5" s="487"/>
      <c r="DA5" s="485"/>
      <c r="DB5" s="278">
        <f>DA5*CY5</f>
        <v>0</v>
      </c>
      <c r="DC5" s="212"/>
      <c r="DD5" s="212"/>
      <c r="DE5" s="212"/>
      <c r="DF5" s="212"/>
      <c r="DI5" s="9"/>
      <c r="DJ5" s="484"/>
      <c r="DK5" s="489"/>
      <c r="DL5" s="9" t="str">
        <f t="shared" ref="DL5:DL29" si="0">IFERROR(VLOOKUP(DJ5,$AN$6:$AQ$55,4,FALSE),"-")</f>
        <v>-</v>
      </c>
      <c r="DM5" s="485"/>
      <c r="DN5" s="485"/>
      <c r="DO5" s="279" t="str">
        <f>IFERROR(VLOOKUP(DN5,$CW$5:$DA$18,3,FALSE),"")</f>
        <v/>
      </c>
      <c r="DP5" s="485"/>
      <c r="DQ5" s="278" t="str">
        <f>IFERROR(DP5*DO5,"")</f>
        <v/>
      </c>
      <c r="DR5" s="212"/>
      <c r="DS5" s="280">
        <f>AR2</f>
        <v>0</v>
      </c>
      <c r="DT5" s="212"/>
      <c r="DU5" s="212"/>
      <c r="DX5" s="9"/>
      <c r="DY5" s="620" t="s">
        <v>247</v>
      </c>
      <c r="DZ5" s="621"/>
      <c r="EA5" s="621"/>
      <c r="EB5" s="622"/>
      <c r="EC5" s="212"/>
      <c r="ED5" s="212"/>
      <c r="EE5" s="212"/>
      <c r="EF5" s="212"/>
      <c r="EJ5" s="9"/>
      <c r="EK5" s="281" t="s">
        <v>269</v>
      </c>
      <c r="EL5" s="282" t="str">
        <f>IFERROR(EL6*R15,"-")</f>
        <v>-</v>
      </c>
      <c r="EM5" s="212"/>
      <c r="EN5" s="212"/>
      <c r="EO5" s="212"/>
      <c r="EP5" s="212"/>
    </row>
    <row r="6" spans="1:146" ht="30" x14ac:dyDescent="0.25">
      <c r="A6" s="614" t="s">
        <v>284</v>
      </c>
      <c r="B6" s="615"/>
      <c r="C6" s="615"/>
      <c r="D6" s="615"/>
      <c r="E6" s="615"/>
      <c r="F6" s="616"/>
      <c r="G6" s="283"/>
      <c r="H6" s="284"/>
      <c r="I6" s="285" t="s">
        <v>335</v>
      </c>
      <c r="J6" s="456"/>
      <c r="K6" s="286" t="s">
        <v>46</v>
      </c>
      <c r="L6" s="284"/>
      <c r="M6" s="283"/>
      <c r="N6" s="283"/>
      <c r="O6" s="259">
        <f>R5+R6</f>
        <v>0</v>
      </c>
      <c r="P6" s="260">
        <v>2</v>
      </c>
      <c r="Q6" s="461"/>
      <c r="R6" s="287">
        <f t="shared" ref="R6:R14" si="1">U6-T6+IF(ISBLANK(T6),0,1)</f>
        <v>0</v>
      </c>
      <c r="S6" s="467"/>
      <c r="T6" s="464"/>
      <c r="U6" s="465"/>
      <c r="V6" s="466"/>
      <c r="W6" s="467"/>
      <c r="X6" s="262">
        <f t="shared" ref="X6:X14" si="2">IFERROR(V6/100*W6*R6,0)</f>
        <v>0</v>
      </c>
      <c r="Y6" s="263" t="str">
        <f t="shared" ref="Y6:Y14" si="3">IFERROR(X6/R6,"-")</f>
        <v>-</v>
      </c>
      <c r="Z6" s="264">
        <v>2</v>
      </c>
      <c r="AA6" s="474"/>
      <c r="AB6" s="474"/>
      <c r="AC6" s="467"/>
      <c r="AD6" s="262">
        <f t="shared" ref="AD6:AD14" si="4">IFERROR(AB6/100*AC6*R6,0)</f>
        <v>0</v>
      </c>
      <c r="AE6" s="265" t="str">
        <f t="shared" ref="AE6:AE14" si="5">IFERROR(AD6/R6,"-")</f>
        <v>-</v>
      </c>
      <c r="AF6" s="266" t="str">
        <f t="shared" ref="AF6:AF14" si="6">IFERROR(IF(AE6&lt;1,0,AE6-Y6-$CO$18),"-")</f>
        <v>-</v>
      </c>
      <c r="AG6" s="9"/>
      <c r="AH6" s="9"/>
      <c r="AI6" s="9"/>
      <c r="AJ6" s="9"/>
      <c r="AK6" s="9"/>
      <c r="AL6" s="283"/>
      <c r="AM6" s="259">
        <v>1</v>
      </c>
      <c r="AN6" s="288">
        <f>T5</f>
        <v>0</v>
      </c>
      <c r="AO6" s="9" t="str">
        <f>IF(AM6&lt;=$O$5,$P$5,IF(AM6&lt;=$O$6,$P$6,IF(AM6&lt;=$O$7,$P$7,IF(AM6&lt;=$O$8,$P$8,IF(AM6&lt;=$O$9,$P$9,IF(AM6&lt;=$O$10,$P$10,IF(AM6&lt;=$O$11,$P$11,IF(AM6&lt;=$O$12,$P$12,IF(AM6&lt;=$O13,$P13,IF(AM6&lt;=$O$14,$P$14,"-"))))))))))</f>
        <v>-</v>
      </c>
      <c r="AP6" s="289" t="str">
        <f>IFERROR(VLOOKUP(AO6,$P$5:$Q$14,2,FALSE),"-")</f>
        <v>-</v>
      </c>
      <c r="AQ6" s="9" t="str">
        <f>IFERROR(VLOOKUP(AO6,$P$5:$S$14,4,FALSE),"-")</f>
        <v>-</v>
      </c>
      <c r="AR6" s="453"/>
      <c r="AS6" s="453"/>
      <c r="AT6" s="229" t="str">
        <f>IFERROR($AS$2-AP6,"-")</f>
        <v>-</v>
      </c>
      <c r="AU6" s="290" t="str">
        <f>IFERROR(IF((AS6-AR6)/AT6&lt;-3,"CHECK INPUTS",(AS6-AR6)/AT6),"N/A")</f>
        <v>N/A</v>
      </c>
      <c r="AV6" s="453"/>
      <c r="AW6" s="290" t="str">
        <f t="shared" ref="AW6:AW55" si="7">IFERROR(IF((AV6-AS6)/AW$4&lt;-3,"CHECK INPUTS",IF((AV6-AS6)/AW$4&gt;0,(AV6-AS6)/AW$4,"-")),"N/A")</f>
        <v>N/A</v>
      </c>
      <c r="AX6" s="453"/>
      <c r="AY6" s="290" t="str">
        <f>IFERROR(IF((AX6-AV6)/AY$4&lt;-3,"CHECK INPUTS",IF((AX6-AV6)/AY$4&gt;0,(AX6-AV6)/AY$4,"-")),"N/A")</f>
        <v>N/A</v>
      </c>
      <c r="AZ6" s="453"/>
      <c r="BA6" s="291" t="str">
        <f>IFERROR(IF((AZ6-AX6)/BA$4&lt;-3,"CHECK INPUTS",IF((AZ6-AX6)/BA$4&gt;0,(AZ6-AX6)/BA$4,"-")),"N/A")</f>
        <v>N/A</v>
      </c>
      <c r="BB6" s="292" t="str">
        <f>IF(ISERROR(MAX(AZ6,AX6,AV6,AS6,AR6)-AR6),"-",IF(MAX(AZ6,AX6,AV6,AS6,AR6)-AR6=0,"-",MAX(AZ6,AX6,AV6,AS6,AR6)-AR6))</f>
        <v>-</v>
      </c>
      <c r="BC6" s="512" t="str">
        <f>IFERROR(MAX($AR$2,$AS$2,$AV$2,$AX$2,$AZ$2)-AP6,"-")</f>
        <v>-</v>
      </c>
      <c r="BD6" s="293" t="str">
        <f>IFERROR(IF((MAX(AZ6,AX6,AV6,AS6,AR6)-AR6)/BC6&gt;0,(MAX(AZ6,AX6,AV6,AS6,AR6)-AR6)/BC6,"-"),"-")</f>
        <v>-</v>
      </c>
      <c r="BE6" s="293" t="str">
        <f>IF(SUMIF($DJ$5:$DJ$30,AN6,$DQ$5:$DQ$30)&gt;0,SUMIF($DJ$5:$DJ$30,AN6,$DQ$5:$DQ$30),"-")</f>
        <v>-</v>
      </c>
      <c r="BF6" s="294" t="str">
        <f>IFERROR(IF(ISBLANK(AR6),"-",IF(OR(AR6=$AR$57,AS6=$AR$57,AV6=$AR$57,AX6=$AR$57,AZ6=$AR$57),-VLOOKUP(AO6,$P$5:$Y$14,10,FALSE)-BC6*$CO$19,IF(ISBLANK(AR6),0,MAX(AZ6,AX6,AV6,AS6,AR6)*$AC$15/100-VLOOKUP(AO6,$P$5:$Y$14,10,FALSE))-BC6*$CO$19)),"-")</f>
        <v>-</v>
      </c>
      <c r="BG6" s="9"/>
      <c r="BH6" s="9"/>
      <c r="BI6" s="9"/>
      <c r="BJ6" s="9"/>
      <c r="BM6" s="9"/>
      <c r="BN6" s="504" t="s">
        <v>220</v>
      </c>
      <c r="BO6" s="505" t="s">
        <v>294</v>
      </c>
      <c r="BP6" s="505" t="s">
        <v>295</v>
      </c>
      <c r="BQ6" s="505" t="s">
        <v>296</v>
      </c>
      <c r="BR6" s="505" t="s">
        <v>297</v>
      </c>
      <c r="BS6" s="505" t="s">
        <v>298</v>
      </c>
      <c r="BT6" s="505" t="s">
        <v>299</v>
      </c>
      <c r="BU6" s="505" t="s">
        <v>300</v>
      </c>
      <c r="BV6" s="505" t="s">
        <v>221</v>
      </c>
      <c r="BW6" s="505" t="s">
        <v>228</v>
      </c>
      <c r="BX6" s="505" t="s">
        <v>229</v>
      </c>
      <c r="BY6" s="506" t="s">
        <v>231</v>
      </c>
      <c r="BZ6" s="9"/>
      <c r="CA6" s="476"/>
      <c r="CB6" s="515">
        <f>IFERROR(VLOOKUP(CA6,Feed!$B$4:$H$19,2,FALSE)*($BR$7/$BQ$7)+VLOOKUP(CA6,Feed!$B$4:$H$19,3,FALSE)*($BS$7/$BQ$7)+VLOOKUP(CA6,Feed!$B$4:$H$19,4,FALSE)*($BT$7/$BQ$7)+VLOOKUP(CA6,Feed!$B$4:$H$19,5,FALSE)*($BU$7/$BQ$7),0)</f>
        <v>0</v>
      </c>
      <c r="CC6" s="299" t="str">
        <f t="shared" ref="CC6:CC11" si="8">IFERROR(VLOOKUP($CA6,FeedIngLst,6,FALSE),"-")</f>
        <v>-</v>
      </c>
      <c r="CD6" s="299" t="str">
        <f t="shared" ref="CD6:CD11" si="9">IFERROR(VLOOKUP($CA6,FeedIngLst,7,FALSE),"-")</f>
        <v>-</v>
      </c>
      <c r="CE6" s="482"/>
      <c r="CF6" s="299" t="str">
        <f>IFERROR(CE6/$CE$13,"-")</f>
        <v>-</v>
      </c>
      <c r="CG6" s="300">
        <f t="shared" ref="CG6:CG13" si="10">CE6*$R$15*$BQ$7/2000</f>
        <v>0</v>
      </c>
      <c r="CH6" s="301" t="str">
        <f t="shared" ref="CH6:CH12" si="11">IFERROR($CB6/$CC6/(1-$CD6),"-")</f>
        <v>-</v>
      </c>
      <c r="CI6" s="9"/>
      <c r="CL6" s="9"/>
      <c r="CM6" s="254" t="str">
        <f>CA16</f>
        <v>-</v>
      </c>
      <c r="CN6" s="275">
        <f t="shared" ref="CN6:CN9" si="12">BQ8</f>
        <v>0</v>
      </c>
      <c r="CO6" s="276">
        <f>CG24</f>
        <v>0</v>
      </c>
      <c r="CP6" s="277">
        <f>CE24</f>
        <v>0</v>
      </c>
      <c r="CQ6" s="302">
        <f>IFERROR(CH25,0)</f>
        <v>0</v>
      </c>
      <c r="CR6" s="9"/>
      <c r="CS6" s="9"/>
      <c r="CV6" s="9"/>
      <c r="CW6" s="484"/>
      <c r="CX6" s="485"/>
      <c r="CY6" s="487"/>
      <c r="CZ6" s="487"/>
      <c r="DA6" s="485"/>
      <c r="DB6" s="278">
        <f t="shared" ref="DB6:DB18" si="13">DA6*CY6</f>
        <v>0</v>
      </c>
      <c r="DC6" s="9"/>
      <c r="DD6" s="259" t="s">
        <v>307</v>
      </c>
      <c r="DE6" s="9"/>
      <c r="DF6" s="9"/>
      <c r="DI6" s="9"/>
      <c r="DJ6" s="484"/>
      <c r="DK6" s="489"/>
      <c r="DL6" s="9" t="str">
        <f t="shared" si="0"/>
        <v>-</v>
      </c>
      <c r="DM6" s="485"/>
      <c r="DN6" s="485"/>
      <c r="DO6" s="279" t="str">
        <f t="shared" ref="DO6:DO29" si="14">IFERROR(VLOOKUP(DN6,$CW$5:$DA$18,3,FALSE),"")</f>
        <v/>
      </c>
      <c r="DP6" s="485"/>
      <c r="DQ6" s="278" t="str">
        <f t="shared" ref="DQ6:DQ29" si="15">IFERROR(DP6*DO6,"")</f>
        <v/>
      </c>
      <c r="DR6" s="9"/>
      <c r="DS6" s="303">
        <f>AS2</f>
        <v>0</v>
      </c>
      <c r="DT6" s="9"/>
      <c r="DU6" s="9"/>
      <c r="DX6" s="9"/>
      <c r="DY6" s="304" t="s">
        <v>248</v>
      </c>
      <c r="DZ6" s="305" t="str">
        <f>ROUND(MAX(AZ56,AX56,AV56,AS56,AR56),0)&amp; " pounds at $"&amp;ROUND(AC15,0)&amp;" per CWT"</f>
        <v>0 pounds at $0 per CWT</v>
      </c>
      <c r="EA6" s="306"/>
      <c r="EB6" s="307" t="str">
        <f>IFERROR(AB15*AC15/100,"-")</f>
        <v>-</v>
      </c>
      <c r="EC6" s="9"/>
      <c r="ED6" s="9"/>
      <c r="EE6" s="9"/>
      <c r="EF6" s="9"/>
      <c r="EJ6" s="9"/>
      <c r="EK6" s="281" t="s">
        <v>270</v>
      </c>
      <c r="EL6" s="282" t="str">
        <f>IFERROR(EB6-EB12-EB14,"-")</f>
        <v>-</v>
      </c>
      <c r="EM6" s="308"/>
      <c r="EN6" s="309"/>
      <c r="EO6" s="9"/>
      <c r="EP6" s="9"/>
    </row>
    <row r="7" spans="1:146" ht="18.95" customHeight="1" x14ac:dyDescent="0.25">
      <c r="A7" s="614" t="s">
        <v>340</v>
      </c>
      <c r="B7" s="615"/>
      <c r="C7" s="615"/>
      <c r="D7" s="615"/>
      <c r="E7" s="615"/>
      <c r="F7" s="616"/>
      <c r="G7" s="283"/>
      <c r="H7" s="284"/>
      <c r="I7" s="285" t="s">
        <v>2</v>
      </c>
      <c r="J7" s="456"/>
      <c r="K7" s="286" t="s">
        <v>337</v>
      </c>
      <c r="L7" s="284"/>
      <c r="M7" s="283"/>
      <c r="N7" s="283"/>
      <c r="O7" s="259">
        <f>SUM(R5:R7)</f>
        <v>0</v>
      </c>
      <c r="P7" s="260">
        <v>3</v>
      </c>
      <c r="Q7" s="461"/>
      <c r="R7" s="287">
        <f t="shared" si="1"/>
        <v>0</v>
      </c>
      <c r="S7" s="467"/>
      <c r="T7" s="464"/>
      <c r="U7" s="465"/>
      <c r="V7" s="468"/>
      <c r="W7" s="467"/>
      <c r="X7" s="262">
        <f t="shared" si="2"/>
        <v>0</v>
      </c>
      <c r="Y7" s="263" t="str">
        <f t="shared" si="3"/>
        <v>-</v>
      </c>
      <c r="Z7" s="264">
        <v>3</v>
      </c>
      <c r="AA7" s="474"/>
      <c r="AB7" s="474"/>
      <c r="AC7" s="467"/>
      <c r="AD7" s="262">
        <f t="shared" si="4"/>
        <v>0</v>
      </c>
      <c r="AE7" s="265" t="str">
        <f t="shared" si="5"/>
        <v>-</v>
      </c>
      <c r="AF7" s="266" t="str">
        <f t="shared" si="6"/>
        <v>-</v>
      </c>
      <c r="AG7" s="9"/>
      <c r="AH7" s="259" t="s">
        <v>135</v>
      </c>
      <c r="AI7" s="9"/>
      <c r="AJ7" s="9"/>
      <c r="AK7" s="9"/>
      <c r="AL7" s="283"/>
      <c r="AM7" s="259">
        <v>2</v>
      </c>
      <c r="AN7" s="310" t="str">
        <f>IFERROR(IF(SUM($T$5:$T$14)&lt;1,"-",IF(AO7=AO6,AN6+1,VLOOKUP(AO7,$P$5:$U$14,5,FALSE))),"-")</f>
        <v>-</v>
      </c>
      <c r="AO7" s="9" t="str">
        <f t="shared" ref="AO7:AO55" si="16">IF(AM7&lt;=$O$5,$P$5,IF(AM7&lt;=$O$6,$P$6,IF(AM7&lt;=$O$7,$P$7,IF(AM7&lt;=$O$8,$P$8,IF(AM7&lt;=$O$9,$P$9,IF(AM7&lt;=$O$10,$P$10,IF(AM7&lt;=$O$11,$P$11,IF(AM7&lt;=$O$12,$P$12,IF(AM7&lt;=$O15,$P15,IF(AM7&lt;=$O$14,$P$14,"-"))))))))))</f>
        <v>-</v>
      </c>
      <c r="AP7" s="289" t="str">
        <f t="shared" ref="AP7:AP55" si="17">IFERROR(VLOOKUP(AO7,$P$5:$Q$14,2,FALSE),"-")</f>
        <v>-</v>
      </c>
      <c r="AQ7" s="9" t="str">
        <f t="shared" ref="AQ7:AQ55" si="18">IFERROR(VLOOKUP(AO7,$P$5:$S$14,4,FALSE),"-")</f>
        <v>-</v>
      </c>
      <c r="AR7" s="453"/>
      <c r="AS7" s="453"/>
      <c r="AT7" s="229" t="str">
        <f t="shared" ref="AT7:AT55" si="19">IFERROR($AS$2-AP7,"-")</f>
        <v>-</v>
      </c>
      <c r="AU7" s="290" t="str">
        <f t="shared" ref="AU7:AU55" si="20">IFERROR(IF((AS7-AR7)/AT7&lt;-3,"CHECK INPUTS",(AS7-AR7)/AT7),"N/A")</f>
        <v>N/A</v>
      </c>
      <c r="AV7" s="453"/>
      <c r="AW7" s="290" t="str">
        <f t="shared" si="7"/>
        <v>N/A</v>
      </c>
      <c r="AX7" s="453"/>
      <c r="AY7" s="290" t="str">
        <f t="shared" ref="AY7:AY55" si="21">IFERROR(IF((AX7-AV7)/AY$4&lt;-3,"CHECK INPUTS",IF((AX7-AV7)/AY$4&gt;0,(AX7-AV7)/AY$4,"-")),"N/A")</f>
        <v>N/A</v>
      </c>
      <c r="AZ7" s="453"/>
      <c r="BA7" s="291" t="str">
        <f t="shared" ref="BA7:BA55" si="22">IFERROR(IF((AZ7-AX7)/BA$4&lt;-3,"CHECK INPUTS",IF((AZ7-AX7)/BA$4&gt;0,(AZ7-AX7)/BA$4,"-")),"N/A")</f>
        <v>N/A</v>
      </c>
      <c r="BB7" s="292" t="str">
        <f t="shared" ref="BB7:BB55" si="23">IF(ISERROR(MAX(AZ7,AX7,AV7,AS7,AR7)-AR7),"-",IF(MAX(AZ7,AX7,AV7,AS7,AR7)-AR7=0,"-",MAX(AZ7,AX7,AV7,AS7,AR7)-AR7))</f>
        <v>-</v>
      </c>
      <c r="BC7" s="512" t="str">
        <f t="shared" ref="BC7:BC55" si="24">IFERROR(MAX($AR$2,$AS$2,$AV$2,$AX$2,$AZ$2)-AP7,"-")</f>
        <v>-</v>
      </c>
      <c r="BD7" s="293" t="str">
        <f t="shared" ref="BD7:BD55" si="25">IFERROR(IF((MAX(AZ7,AX7,AV7,AS7,AR7)-AR7)/BC7&gt;0,(MAX(AZ7,AX7,AV7,AS7,AR7)-AR7)/BC7,"-"),"-")</f>
        <v>-</v>
      </c>
      <c r="BE7" s="293" t="str">
        <f t="shared" ref="BE7:BE55" si="26">IF(SUMIF($DJ$5:$DJ$30,AN7,$DQ$5:$DQ$30)&gt;0,SUMIF($DJ$5:$DJ$30,AN7,$DQ$5:$DQ$30),"-")</f>
        <v>-</v>
      </c>
      <c r="BF7" s="294" t="str">
        <f t="shared" ref="BF7:BF55" si="27">IFERROR(IF(ISBLANK(AR7),"-",IF(OR(AR7=$AR$57,AS7=$AR$57,AV7=$AR$57,AX7=$AR$57,AZ7=$AR$57),-VLOOKUP(AO7,$P$5:$Y$14,10,FALSE)-BC7*$CO$19,IF(ISBLANK(AR7),0,MAX(AZ7,AX7,AV7,AS7,AR7)*$AC$15/100-VLOOKUP(AO7,$P$5:$Y$14,10,FALSE))-BC7*$CO$19)),"-")</f>
        <v>-</v>
      </c>
      <c r="BG7" s="9"/>
      <c r="BH7" s="9"/>
      <c r="BI7" s="9"/>
      <c r="BJ7" s="9"/>
      <c r="BM7" s="9"/>
      <c r="BN7" s="476" t="s">
        <v>293</v>
      </c>
      <c r="BO7" s="477"/>
      <c r="BP7" s="477"/>
      <c r="BQ7" s="311">
        <f>IF($BP7-$BO7&gt;0,$BP7-$BO7,0)</f>
        <v>0</v>
      </c>
      <c r="BR7" s="312">
        <f>IF(ISBLANK(BO7),0,IF(AND(Feed!D$3&gt;$BP7,$BP7&gt;Feed!C$3),$BQ7,MAX(MIN($BP7,Feed!D$3)-$BO7,0)))</f>
        <v>0</v>
      </c>
      <c r="BS7" s="312">
        <f>IF(ISBLANK(BO7),0,IF(AND(Feed!E$3&gt;$BP7,$BP7&gt;Feed!D$3),$BQ7,MAX(MIN($BP7,Feed!E$3)-$BO7-BR7,0)))</f>
        <v>0</v>
      </c>
      <c r="BT7" s="312">
        <f>IF(AND(Feed!F$3&gt;$BP7,$BP7&gt;Feed!E$3),$BQ7,MAX(MIN($BP7,Feed!F$3)-$BO7-BS7-BR7,0))</f>
        <v>0</v>
      </c>
      <c r="BU7" s="312">
        <f>IF(AND(Feed!G$3&gt;$BP7,$BP7&gt;Feed!F$3),$BQ7,MAX(MIN($BP7,Feed!G$3)-$BO7-BT7-BT7-BS7-BR7,0))</f>
        <v>0</v>
      </c>
      <c r="BV7" s="313">
        <f>CH14</f>
        <v>0</v>
      </c>
      <c r="BW7" s="507">
        <f>CH12</f>
        <v>78.359787947924048</v>
      </c>
      <c r="BX7" s="313">
        <f>IF($BV7=0,0,$BV7-$BW7)</f>
        <v>0</v>
      </c>
      <c r="BY7" s="315" t="str">
        <f>CF12</f>
        <v>-</v>
      </c>
      <c r="BZ7" s="9"/>
      <c r="CA7" s="476"/>
      <c r="CB7" s="515">
        <f>IFERROR(VLOOKUP(CA7,Feed!$B$4:$H$19,2,FALSE)*($BR$7/$BQ$7)+VLOOKUP(CA7,Feed!$B$4:$H$19,3,FALSE)*($BS$7/$BQ$7)+VLOOKUP(CA7,Feed!$B$4:$H$19,4,FALSE)*($BT$7/$BQ$7)+VLOOKUP(CA7,Feed!$B$4:$H$19,5,FALSE)*($BU$7/$BQ$7),0)</f>
        <v>0</v>
      </c>
      <c r="CC7" s="299" t="str">
        <f t="shared" si="8"/>
        <v>-</v>
      </c>
      <c r="CD7" s="299" t="str">
        <f t="shared" si="9"/>
        <v>-</v>
      </c>
      <c r="CE7" s="482"/>
      <c r="CF7" s="299" t="str">
        <f t="shared" ref="CF7:CF12" si="28">IFERROR(CE7/$CE$13,"-")</f>
        <v>-</v>
      </c>
      <c r="CG7" s="300">
        <f t="shared" si="10"/>
        <v>0</v>
      </c>
      <c r="CH7" s="301" t="str">
        <f t="shared" si="11"/>
        <v>-</v>
      </c>
      <c r="CI7" s="9"/>
      <c r="CL7" s="9"/>
      <c r="CM7" s="254" t="str">
        <f>CA27</f>
        <v>-</v>
      </c>
      <c r="CN7" s="275">
        <f t="shared" si="12"/>
        <v>0</v>
      </c>
      <c r="CO7" s="276">
        <f>CG35</f>
        <v>0</v>
      </c>
      <c r="CP7" s="277">
        <f>CE35</f>
        <v>0</v>
      </c>
      <c r="CQ7" s="302">
        <f>IFERROR(CH36,0)</f>
        <v>0</v>
      </c>
      <c r="CR7" s="9"/>
      <c r="CS7" s="9"/>
      <c r="CV7" s="9"/>
      <c r="CW7" s="484"/>
      <c r="CX7" s="485"/>
      <c r="CY7" s="487"/>
      <c r="CZ7" s="487"/>
      <c r="DA7" s="485"/>
      <c r="DB7" s="278">
        <f t="shared" si="13"/>
        <v>0</v>
      </c>
      <c r="DC7" s="9"/>
      <c r="DD7" s="259" t="s">
        <v>308</v>
      </c>
      <c r="DE7" s="9"/>
      <c r="DF7" s="9"/>
      <c r="DI7" s="9"/>
      <c r="DJ7" s="484"/>
      <c r="DK7" s="485"/>
      <c r="DL7" s="9" t="str">
        <f t="shared" si="0"/>
        <v>-</v>
      </c>
      <c r="DM7" s="485"/>
      <c r="DN7" s="485"/>
      <c r="DO7" s="279" t="str">
        <f t="shared" si="14"/>
        <v/>
      </c>
      <c r="DP7" s="485"/>
      <c r="DQ7" s="278" t="str">
        <f t="shared" si="15"/>
        <v/>
      </c>
      <c r="DR7" s="9"/>
      <c r="DS7" s="303">
        <f>AV2</f>
        <v>0</v>
      </c>
      <c r="DT7" s="9"/>
      <c r="DU7" s="9"/>
      <c r="DX7" s="9"/>
      <c r="DY7" s="304" t="s">
        <v>245</v>
      </c>
      <c r="DZ7" s="305"/>
      <c r="EA7" s="306"/>
      <c r="EB7" s="307" t="str">
        <f>IFERROR((J5/100*AVERAGE(V15,AB15)-EB6)/R15*SUM(AS58:AZ58),"-")</f>
        <v>-</v>
      </c>
      <c r="EC7" s="9"/>
      <c r="ED7" s="9"/>
      <c r="EE7" s="9"/>
      <c r="EF7" s="9"/>
      <c r="EJ7" s="9"/>
      <c r="EK7" s="281" t="s">
        <v>271</v>
      </c>
      <c r="EL7" s="282">
        <f>IFERROR(EL6/MAX(AZ56,AX56,AV56,AS56,AR56),)</f>
        <v>0</v>
      </c>
      <c r="EM7" s="308"/>
      <c r="EN7" s="309"/>
      <c r="EO7" s="9"/>
      <c r="EP7" s="9"/>
    </row>
    <row r="8" spans="1:146" ht="18.75" x14ac:dyDescent="0.25">
      <c r="A8" s="614" t="s">
        <v>273</v>
      </c>
      <c r="B8" s="615"/>
      <c r="C8" s="615"/>
      <c r="D8" s="615"/>
      <c r="E8" s="615"/>
      <c r="F8" s="616"/>
      <c r="G8" s="283"/>
      <c r="H8" s="284"/>
      <c r="I8" s="285" t="s">
        <v>9</v>
      </c>
      <c r="J8" s="457"/>
      <c r="K8" s="286" t="s">
        <v>336</v>
      </c>
      <c r="L8" s="284"/>
      <c r="M8" s="283"/>
      <c r="N8" s="283"/>
      <c r="O8" s="259">
        <f>SUM(R5:R8)</f>
        <v>0</v>
      </c>
      <c r="P8" s="260">
        <v>4</v>
      </c>
      <c r="Q8" s="461"/>
      <c r="R8" s="287">
        <f t="shared" si="1"/>
        <v>0</v>
      </c>
      <c r="S8" s="467"/>
      <c r="T8" s="464"/>
      <c r="U8" s="465"/>
      <c r="V8" s="468"/>
      <c r="W8" s="467"/>
      <c r="X8" s="262">
        <f t="shared" si="2"/>
        <v>0</v>
      </c>
      <c r="Y8" s="263" t="str">
        <f t="shared" si="3"/>
        <v>-</v>
      </c>
      <c r="Z8" s="264">
        <v>4</v>
      </c>
      <c r="AA8" s="474"/>
      <c r="AB8" s="474"/>
      <c r="AC8" s="467"/>
      <c r="AD8" s="262">
        <f t="shared" si="4"/>
        <v>0</v>
      </c>
      <c r="AE8" s="265" t="str">
        <f t="shared" si="5"/>
        <v>-</v>
      </c>
      <c r="AF8" s="266" t="str">
        <f t="shared" si="6"/>
        <v>-</v>
      </c>
      <c r="AG8" s="9"/>
      <c r="AH8" s="259" t="s">
        <v>366</v>
      </c>
      <c r="AI8" s="9"/>
      <c r="AJ8" s="9"/>
      <c r="AK8" s="9"/>
      <c r="AL8" s="283"/>
      <c r="AM8" s="259">
        <v>3</v>
      </c>
      <c r="AN8" s="310" t="str">
        <f t="shared" ref="AN8:AN55" si="29">IFERROR(IF(SUM($T$5:$T$14)&lt;1,"-",IF(AO8=AO7,AN7+1,VLOOKUP(AO8,$P$5:$U$14,5,FALSE))),"-")</f>
        <v>-</v>
      </c>
      <c r="AO8" s="9" t="str">
        <f t="shared" si="16"/>
        <v>-</v>
      </c>
      <c r="AP8" s="289" t="str">
        <f t="shared" si="17"/>
        <v>-</v>
      </c>
      <c r="AQ8" s="9" t="str">
        <f t="shared" si="18"/>
        <v>-</v>
      </c>
      <c r="AR8" s="453"/>
      <c r="AS8" s="453"/>
      <c r="AT8" s="229" t="str">
        <f t="shared" si="19"/>
        <v>-</v>
      </c>
      <c r="AU8" s="290" t="str">
        <f t="shared" si="20"/>
        <v>N/A</v>
      </c>
      <c r="AV8" s="453"/>
      <c r="AW8" s="290" t="str">
        <f t="shared" si="7"/>
        <v>N/A</v>
      </c>
      <c r="AX8" s="453"/>
      <c r="AY8" s="290" t="str">
        <f t="shared" si="21"/>
        <v>N/A</v>
      </c>
      <c r="AZ8" s="453"/>
      <c r="BA8" s="291" t="str">
        <f t="shared" si="22"/>
        <v>N/A</v>
      </c>
      <c r="BB8" s="292" t="str">
        <f t="shared" si="23"/>
        <v>-</v>
      </c>
      <c r="BC8" s="512" t="str">
        <f t="shared" si="24"/>
        <v>-</v>
      </c>
      <c r="BD8" s="293" t="str">
        <f t="shared" si="25"/>
        <v>-</v>
      </c>
      <c r="BE8" s="293" t="str">
        <f t="shared" si="26"/>
        <v>-</v>
      </c>
      <c r="BF8" s="294" t="str">
        <f t="shared" si="27"/>
        <v>-</v>
      </c>
      <c r="BG8" s="9"/>
      <c r="BH8" s="9"/>
      <c r="BI8" s="9"/>
      <c r="BJ8" s="9"/>
      <c r="BM8" s="9"/>
      <c r="BN8" s="476" t="s">
        <v>293</v>
      </c>
      <c r="BO8" s="477"/>
      <c r="BP8" s="477"/>
      <c r="BQ8" s="311">
        <f>IF($BP8-$BO8&gt;0,$BP8-$BO8,0)</f>
        <v>0</v>
      </c>
      <c r="BR8" s="312">
        <f>IF(ISBLANK(BO8),0,IF(AND(Feed!D$3&gt;$BP8,$BP8&gt;Feed!C$3),$BQ8,MAX(MIN($BP8,Feed!D$3)-$BO8,0)))</f>
        <v>0</v>
      </c>
      <c r="BS8" s="312">
        <f>IF(ISBLANK(BO8),0,IF(AND(Feed!E$3&gt;$BP8,$BP8&gt;Feed!D$3),$BQ8,MAX(MIN($BP8,Feed!E$3)-$BO8-BR8,0)))</f>
        <v>0</v>
      </c>
      <c r="BT8" s="312">
        <f>IF(AND(Feed!F$3&gt;$BP8,$BP8&gt;Feed!E$3),$BQ8,MAX(MIN($BP8,Feed!F$3)-$BO8-BS8-BR8,0))</f>
        <v>0</v>
      </c>
      <c r="BU8" s="312">
        <f>IF(AND(Feed!G$3&gt;$BP8,$BP8&gt;Feed!F$3),$BQ8,MAX(MIN($BP8,Feed!G$3)-$BO8-BT8-BS8-BR8,0))</f>
        <v>0</v>
      </c>
      <c r="BV8" s="313">
        <f>CH25</f>
        <v>0</v>
      </c>
      <c r="BW8" s="507">
        <f>CH23</f>
        <v>78.359787947924048</v>
      </c>
      <c r="BX8" s="313">
        <f>IF($BV8=0,0,$BV8-$BW8)</f>
        <v>0</v>
      </c>
      <c r="BY8" s="315" t="str">
        <f>CF23</f>
        <v>-</v>
      </c>
      <c r="BZ8" s="9"/>
      <c r="CA8" s="476"/>
      <c r="CB8" s="515">
        <f>IFERROR(VLOOKUP(CA8,Feed!$B$4:$H$19,2,FALSE)*($BR$7/$BQ$7)+VLOOKUP(CA8,Feed!$B$4:$H$19,3,FALSE)*($BS$7/$BQ$7)+VLOOKUP(CA8,Feed!$B$4:$H$19,4,FALSE)*($BT$7/$BQ$7)+VLOOKUP(CA8,Feed!$B$4:$H$19,5,FALSE)*($BU$7/$BQ$7),0)</f>
        <v>0</v>
      </c>
      <c r="CC8" s="299" t="str">
        <f t="shared" si="8"/>
        <v>-</v>
      </c>
      <c r="CD8" s="299" t="str">
        <f t="shared" si="9"/>
        <v>-</v>
      </c>
      <c r="CE8" s="482"/>
      <c r="CF8" s="299" t="str">
        <f t="shared" si="28"/>
        <v>-</v>
      </c>
      <c r="CG8" s="300">
        <f t="shared" si="10"/>
        <v>0</v>
      </c>
      <c r="CH8" s="301" t="str">
        <f t="shared" si="11"/>
        <v>-</v>
      </c>
      <c r="CI8" s="9"/>
      <c r="CL8" s="9"/>
      <c r="CM8" s="254" t="str">
        <f>CA38</f>
        <v>-</v>
      </c>
      <c r="CN8" s="275">
        <f t="shared" si="12"/>
        <v>0</v>
      </c>
      <c r="CO8" s="276">
        <f>CG46</f>
        <v>0</v>
      </c>
      <c r="CP8" s="277">
        <f>CE46</f>
        <v>0</v>
      </c>
      <c r="CQ8" s="302">
        <f>IFERROR(CH47,0)</f>
        <v>0</v>
      </c>
      <c r="CR8" s="9"/>
      <c r="CS8" s="9"/>
      <c r="CV8" s="9"/>
      <c r="CW8" s="484"/>
      <c r="CX8" s="485"/>
      <c r="CY8" s="487"/>
      <c r="CZ8" s="487"/>
      <c r="DA8" s="485"/>
      <c r="DB8" s="278">
        <f t="shared" si="13"/>
        <v>0</v>
      </c>
      <c r="DC8" s="9"/>
      <c r="DD8" s="9"/>
      <c r="DE8" s="9"/>
      <c r="DF8" s="9"/>
      <c r="DI8" s="9"/>
      <c r="DJ8" s="484"/>
      <c r="DK8" s="485"/>
      <c r="DL8" s="9" t="str">
        <f t="shared" si="0"/>
        <v>-</v>
      </c>
      <c r="DM8" s="485"/>
      <c r="DN8" s="485"/>
      <c r="DO8" s="279" t="str">
        <f t="shared" si="14"/>
        <v/>
      </c>
      <c r="DP8" s="485"/>
      <c r="DQ8" s="278" t="str">
        <f t="shared" si="15"/>
        <v/>
      </c>
      <c r="DR8" s="9"/>
      <c r="DS8" s="303">
        <f>AX2</f>
        <v>0</v>
      </c>
      <c r="DT8" s="9"/>
      <c r="DU8" s="9"/>
      <c r="DX8" s="9"/>
      <c r="DY8" s="304" t="s">
        <v>244</v>
      </c>
      <c r="DZ8" s="306"/>
      <c r="EA8" s="306"/>
      <c r="EB8" s="307" t="str">
        <f>IFERROR(-(SUM(AS57:AZ57)*EB6)/R15,"-")</f>
        <v>-</v>
      </c>
      <c r="EC8" s="9"/>
      <c r="ED8" s="9"/>
      <c r="EE8" s="9"/>
      <c r="EF8" s="9"/>
      <c r="EJ8" s="9"/>
      <c r="EK8" s="281" t="s">
        <v>266</v>
      </c>
      <c r="EL8" s="497">
        <f>IFERROR((EB24-EB7-EB8-EB9)/MAX(AZ56,AX56,AV56,AS56,AR56),)</f>
        <v>0</v>
      </c>
      <c r="EM8" s="9"/>
      <c r="EN8" s="9"/>
      <c r="EO8" s="9"/>
      <c r="EP8" s="9"/>
    </row>
    <row r="9" spans="1:146" ht="18.95" customHeight="1" x14ac:dyDescent="0.25">
      <c r="A9" s="614" t="s">
        <v>281</v>
      </c>
      <c r="B9" s="615"/>
      <c r="C9" s="615"/>
      <c r="D9" s="615"/>
      <c r="E9" s="615"/>
      <c r="F9" s="616"/>
      <c r="G9" s="283"/>
      <c r="H9" s="284"/>
      <c r="I9" s="318" t="s">
        <v>39</v>
      </c>
      <c r="J9" s="456"/>
      <c r="K9" s="319" t="s">
        <v>55</v>
      </c>
      <c r="L9" s="284"/>
      <c r="M9" s="283"/>
      <c r="N9" s="283"/>
      <c r="O9" s="259">
        <f>SUM(R5:R9)</f>
        <v>0</v>
      </c>
      <c r="P9" s="260">
        <v>5</v>
      </c>
      <c r="Q9" s="461"/>
      <c r="R9" s="287">
        <f t="shared" si="1"/>
        <v>0</v>
      </c>
      <c r="S9" s="467"/>
      <c r="T9" s="464"/>
      <c r="U9" s="465"/>
      <c r="V9" s="468"/>
      <c r="W9" s="467"/>
      <c r="X9" s="262">
        <f t="shared" si="2"/>
        <v>0</v>
      </c>
      <c r="Y9" s="263" t="str">
        <f t="shared" si="3"/>
        <v>-</v>
      </c>
      <c r="Z9" s="264">
        <v>5</v>
      </c>
      <c r="AA9" s="474"/>
      <c r="AB9" s="474"/>
      <c r="AC9" s="467"/>
      <c r="AD9" s="262">
        <f t="shared" si="4"/>
        <v>0</v>
      </c>
      <c r="AE9" s="265" t="str">
        <f t="shared" si="5"/>
        <v>-</v>
      </c>
      <c r="AF9" s="266" t="str">
        <f t="shared" si="6"/>
        <v>-</v>
      </c>
      <c r="AG9" s="9"/>
      <c r="AH9" s="259" t="s">
        <v>367</v>
      </c>
      <c r="AI9" s="9"/>
      <c r="AJ9" s="9"/>
      <c r="AK9" s="9"/>
      <c r="AL9" s="283"/>
      <c r="AM9" s="259">
        <v>4</v>
      </c>
      <c r="AN9" s="310" t="str">
        <f t="shared" si="29"/>
        <v>-</v>
      </c>
      <c r="AO9" s="9" t="str">
        <f t="shared" si="16"/>
        <v>-</v>
      </c>
      <c r="AP9" s="289" t="str">
        <f t="shared" si="17"/>
        <v>-</v>
      </c>
      <c r="AQ9" s="9" t="str">
        <f t="shared" si="18"/>
        <v>-</v>
      </c>
      <c r="AR9" s="453"/>
      <c r="AS9" s="453"/>
      <c r="AT9" s="229" t="str">
        <f t="shared" si="19"/>
        <v>-</v>
      </c>
      <c r="AU9" s="290" t="str">
        <f t="shared" si="20"/>
        <v>N/A</v>
      </c>
      <c r="AV9" s="453"/>
      <c r="AW9" s="290" t="str">
        <f t="shared" si="7"/>
        <v>N/A</v>
      </c>
      <c r="AX9" s="453"/>
      <c r="AY9" s="290" t="str">
        <f t="shared" si="21"/>
        <v>N/A</v>
      </c>
      <c r="AZ9" s="453"/>
      <c r="BA9" s="291" t="str">
        <f t="shared" si="22"/>
        <v>N/A</v>
      </c>
      <c r="BB9" s="292" t="str">
        <f t="shared" si="23"/>
        <v>-</v>
      </c>
      <c r="BC9" s="512" t="str">
        <f t="shared" si="24"/>
        <v>-</v>
      </c>
      <c r="BD9" s="293" t="str">
        <f t="shared" si="25"/>
        <v>-</v>
      </c>
      <c r="BE9" s="293" t="str">
        <f t="shared" si="26"/>
        <v>-</v>
      </c>
      <c r="BF9" s="294" t="str">
        <f t="shared" si="27"/>
        <v>-</v>
      </c>
      <c r="BG9" s="9"/>
      <c r="BH9" s="9"/>
      <c r="BI9" s="9"/>
      <c r="BJ9" s="9"/>
      <c r="BM9" s="9"/>
      <c r="BN9" s="476" t="s">
        <v>293</v>
      </c>
      <c r="BO9" s="477"/>
      <c r="BP9" s="477"/>
      <c r="BQ9" s="311">
        <f>IF($BP9-$BO9&gt;0,$BP9-$BO9,0)</f>
        <v>0</v>
      </c>
      <c r="BR9" s="312">
        <f>IF(ISBLANK(BO9),0,IF(AND(Feed!D$3&gt;$BP9,$BP9&gt;Feed!C$3),$BQ9,MAX(MIN($BP9,Feed!D$3)-$BO9,0)))</f>
        <v>0</v>
      </c>
      <c r="BS9" s="312">
        <f>IF(ISBLANK(BO9),0,IF(AND(Feed!E$3&gt;$BP9,$BP9&gt;Feed!D$3),$BQ9,MAX(MIN($BP9,Feed!E$3)-$BO9-BR9,0)))</f>
        <v>0</v>
      </c>
      <c r="BT9" s="312">
        <f>IF(AND(Feed!F$3&gt;$BP9,$BP9&gt;Feed!E$3),$BQ9,MAX(MIN($BP9,Feed!F$3)-$BO9-BS9-BR9,0))</f>
        <v>0</v>
      </c>
      <c r="BU9" s="312">
        <f>IF(AND(Feed!G$3&gt;$BP9,$BP9&gt;Feed!F$3),$BQ9,MAX(MIN($BP9,Feed!G$3)-$BO9-BT9-BT9-BS9-BR9,0))</f>
        <v>0</v>
      </c>
      <c r="BV9" s="313">
        <f>CH36</f>
        <v>0</v>
      </c>
      <c r="BW9" s="507">
        <f>CH34</f>
        <v>78.359787947924048</v>
      </c>
      <c r="BX9" s="313">
        <f>IF($BV9=0,0,$BV9-$BW9)</f>
        <v>0</v>
      </c>
      <c r="BY9" s="315" t="str">
        <f>CF34</f>
        <v>-</v>
      </c>
      <c r="BZ9" s="9"/>
      <c r="CA9" s="476"/>
      <c r="CB9" s="515">
        <f>IFERROR(VLOOKUP(CA9,Feed!$B$4:$H$19,2,FALSE)*($BR$7/$BQ$7)+VLOOKUP(CA9,Feed!$B$4:$H$19,3,FALSE)*($BS$7/$BQ$7)+VLOOKUP(CA9,Feed!$B$4:$H$19,4,FALSE)*($BT$7/$BQ$7)+VLOOKUP(CA9,Feed!$B$4:$H$19,5,FALSE)*($BU$7/$BQ$7),0)</f>
        <v>0</v>
      </c>
      <c r="CC9" s="299" t="str">
        <f t="shared" si="8"/>
        <v>-</v>
      </c>
      <c r="CD9" s="299" t="str">
        <f t="shared" si="9"/>
        <v>-</v>
      </c>
      <c r="CE9" s="482"/>
      <c r="CF9" s="299" t="str">
        <f t="shared" si="28"/>
        <v>-</v>
      </c>
      <c r="CG9" s="300">
        <f t="shared" si="10"/>
        <v>0</v>
      </c>
      <c r="CH9" s="301" t="str">
        <f t="shared" si="11"/>
        <v>-</v>
      </c>
      <c r="CI9" s="9"/>
      <c r="CL9" s="9"/>
      <c r="CM9" s="254" t="str">
        <f>CA49</f>
        <v>-</v>
      </c>
      <c r="CN9" s="275">
        <f t="shared" si="12"/>
        <v>0</v>
      </c>
      <c r="CO9" s="276">
        <f>CG57</f>
        <v>0</v>
      </c>
      <c r="CP9" s="277">
        <f>CE57</f>
        <v>0</v>
      </c>
      <c r="CQ9" s="302">
        <f>IFERROR(CH58,0)</f>
        <v>0</v>
      </c>
      <c r="CR9" s="320"/>
      <c r="CS9" s="9"/>
      <c r="CV9" s="9"/>
      <c r="CW9" s="484"/>
      <c r="CX9" s="485"/>
      <c r="CY9" s="487"/>
      <c r="CZ9" s="487"/>
      <c r="DA9" s="485"/>
      <c r="DB9" s="278">
        <f t="shared" si="13"/>
        <v>0</v>
      </c>
      <c r="DC9" s="9"/>
      <c r="DD9" s="9"/>
      <c r="DE9" s="9"/>
      <c r="DF9" s="9"/>
      <c r="DI9" s="9"/>
      <c r="DJ9" s="484"/>
      <c r="DK9" s="485"/>
      <c r="DL9" s="9" t="str">
        <f t="shared" si="0"/>
        <v>-</v>
      </c>
      <c r="DM9" s="485"/>
      <c r="DN9" s="485"/>
      <c r="DO9" s="279" t="str">
        <f t="shared" si="14"/>
        <v/>
      </c>
      <c r="DP9" s="485"/>
      <c r="DQ9" s="278" t="str">
        <f t="shared" si="15"/>
        <v/>
      </c>
      <c r="DR9" s="9"/>
      <c r="DS9" s="303">
        <f>AZ2</f>
        <v>0</v>
      </c>
      <c r="DT9" s="9"/>
      <c r="DU9" s="9"/>
      <c r="DX9" s="9"/>
      <c r="DY9" s="304" t="s">
        <v>242</v>
      </c>
      <c r="DZ9" s="306" t="str">
        <f>J12*100&amp;"% of total sales"</f>
        <v>0% of total sales</v>
      </c>
      <c r="EA9" s="306"/>
      <c r="EB9" s="307" t="str">
        <f>IFERROR(-J12*(EB6-EB7-EB8),"-")</f>
        <v>-</v>
      </c>
      <c r="EC9" s="9"/>
      <c r="ED9" s="9"/>
      <c r="EE9" s="9"/>
      <c r="EF9" s="9"/>
      <c r="EJ9" s="9"/>
      <c r="EK9" s="281" t="s">
        <v>267</v>
      </c>
      <c r="EL9" s="498" cm="1">
        <f t="array" ref="EL9">IFERROR(SUM(EB13:EB23,-EB7:EB8)/BB56,)</f>
        <v>0</v>
      </c>
      <c r="EM9" s="9"/>
      <c r="EN9" s="9"/>
      <c r="EO9" s="320"/>
      <c r="EP9" s="9"/>
    </row>
    <row r="10" spans="1:146" ht="18.75" x14ac:dyDescent="0.25">
      <c r="A10" s="614" t="s">
        <v>263</v>
      </c>
      <c r="B10" s="615"/>
      <c r="C10" s="615"/>
      <c r="D10" s="615"/>
      <c r="E10" s="615"/>
      <c r="F10" s="616"/>
      <c r="G10" s="283"/>
      <c r="H10" s="284"/>
      <c r="I10" s="318" t="s">
        <v>276</v>
      </c>
      <c r="J10" s="456"/>
      <c r="K10" s="319" t="s">
        <v>46</v>
      </c>
      <c r="L10" s="284"/>
      <c r="M10" s="283"/>
      <c r="N10" s="283"/>
      <c r="O10" s="259">
        <f>SUM(R5:R10)</f>
        <v>0</v>
      </c>
      <c r="P10" s="260">
        <v>6</v>
      </c>
      <c r="Q10" s="461"/>
      <c r="R10" s="287">
        <f t="shared" si="1"/>
        <v>0</v>
      </c>
      <c r="S10" s="467"/>
      <c r="T10" s="464"/>
      <c r="U10" s="465"/>
      <c r="V10" s="468"/>
      <c r="W10" s="467"/>
      <c r="X10" s="262">
        <f t="shared" si="2"/>
        <v>0</v>
      </c>
      <c r="Y10" s="263" t="str">
        <f t="shared" si="3"/>
        <v>-</v>
      </c>
      <c r="Z10" s="264">
        <v>6</v>
      </c>
      <c r="AA10" s="474"/>
      <c r="AB10" s="474"/>
      <c r="AC10" s="467"/>
      <c r="AD10" s="262">
        <f t="shared" si="4"/>
        <v>0</v>
      </c>
      <c r="AE10" s="265" t="str">
        <f t="shared" si="5"/>
        <v>-</v>
      </c>
      <c r="AF10" s="266" t="str">
        <f t="shared" si="6"/>
        <v>-</v>
      </c>
      <c r="AG10" s="9"/>
      <c r="AH10" s="259" t="s">
        <v>368</v>
      </c>
      <c r="AI10" s="9"/>
      <c r="AJ10" s="9"/>
      <c r="AK10" s="9"/>
      <c r="AL10" s="283"/>
      <c r="AM10" s="259">
        <v>5</v>
      </c>
      <c r="AN10" s="310" t="str">
        <f t="shared" si="29"/>
        <v>-</v>
      </c>
      <c r="AO10" s="9" t="str">
        <f t="shared" si="16"/>
        <v>-</v>
      </c>
      <c r="AP10" s="289" t="str">
        <f t="shared" si="17"/>
        <v>-</v>
      </c>
      <c r="AQ10" s="9" t="str">
        <f t="shared" si="18"/>
        <v>-</v>
      </c>
      <c r="AR10" s="453"/>
      <c r="AS10" s="453"/>
      <c r="AT10" s="229" t="str">
        <f t="shared" si="19"/>
        <v>-</v>
      </c>
      <c r="AU10" s="290" t="str">
        <f t="shared" si="20"/>
        <v>N/A</v>
      </c>
      <c r="AV10" s="453"/>
      <c r="AW10" s="290" t="str">
        <f t="shared" si="7"/>
        <v>N/A</v>
      </c>
      <c r="AX10" s="453"/>
      <c r="AY10" s="290" t="str">
        <f t="shared" si="21"/>
        <v>N/A</v>
      </c>
      <c r="AZ10" s="453"/>
      <c r="BA10" s="291" t="str">
        <f t="shared" si="22"/>
        <v>N/A</v>
      </c>
      <c r="BB10" s="292" t="str">
        <f t="shared" si="23"/>
        <v>-</v>
      </c>
      <c r="BC10" s="512" t="str">
        <f t="shared" si="24"/>
        <v>-</v>
      </c>
      <c r="BD10" s="293" t="str">
        <f t="shared" si="25"/>
        <v>-</v>
      </c>
      <c r="BE10" s="293" t="str">
        <f t="shared" si="26"/>
        <v>-</v>
      </c>
      <c r="BF10" s="294" t="str">
        <f t="shared" si="27"/>
        <v>-</v>
      </c>
      <c r="BG10" s="9"/>
      <c r="BH10" s="9"/>
      <c r="BI10" s="9"/>
      <c r="BJ10" s="9"/>
      <c r="BM10" s="9"/>
      <c r="BN10" s="476" t="s">
        <v>293</v>
      </c>
      <c r="BO10" s="478"/>
      <c r="BP10" s="478"/>
      <c r="BQ10" s="311">
        <f>IF($BP10-$BO10&gt;0,$BP10-$BO10,0)</f>
        <v>0</v>
      </c>
      <c r="BR10" s="312">
        <f>IF(ISBLANK(BO10),0,IF(AND(Feed!D$3&gt;$BP10,$BP10&gt;Feed!C$3),$BQ10,MAX(MIN($BP10,Feed!D$3)-$BO10,0)))</f>
        <v>0</v>
      </c>
      <c r="BS10" s="312">
        <f>IF(ISBLANK(BO10),0,IF(AND(Feed!E$3&gt;$BP10,$BP10&gt;Feed!D$3),$BQ10,MAX(MIN($BP10,Feed!E$3)-$BO10-BR10,0)))</f>
        <v>0</v>
      </c>
      <c r="BT10" s="312">
        <f>IF(AND(Feed!F$3&gt;$BP10,$BP10&gt;Feed!E$3),$BQ10,MAX(MIN($BP10,Feed!F$3)-$BO10-BS10-BR10,0))</f>
        <v>0</v>
      </c>
      <c r="BU10" s="312">
        <f>IF(AND(Feed!G$3&gt;$BP10,$BP10&gt;Feed!F$3),$BQ10,MAX(MIN($BP10,Feed!G$3)-$BO10-BT10-BS10-BR10,0))</f>
        <v>0</v>
      </c>
      <c r="BV10" s="313">
        <f>CH47</f>
        <v>0</v>
      </c>
      <c r="BW10" s="507">
        <f>CH45</f>
        <v>78.359787947924048</v>
      </c>
      <c r="BX10" s="313">
        <f>IF($BV10=0,0,$BV10-$BW10)</f>
        <v>0</v>
      </c>
      <c r="BY10" s="315" t="str">
        <f>CF45</f>
        <v>-</v>
      </c>
      <c r="BZ10" s="9"/>
      <c r="CA10" s="476"/>
      <c r="CB10" s="515">
        <f>IFERROR(VLOOKUP(CA10,Feed!$B$4:$H$19,2,FALSE)*($BR$7/$BQ$7)+VLOOKUP(CA10,Feed!$B$4:$H$19,3,FALSE)*($BS$7/$BQ$7)+VLOOKUP(CA10,Feed!$B$4:$H$19,4,FALSE)*($BT$7/$BQ$7)+VLOOKUP(CA10,Feed!$B$4:$H$19,5,FALSE)*($BU$7/$BQ$7),0)</f>
        <v>0</v>
      </c>
      <c r="CC10" s="299" t="str">
        <f t="shared" si="8"/>
        <v>-</v>
      </c>
      <c r="CD10" s="299" t="str">
        <f t="shared" si="9"/>
        <v>-</v>
      </c>
      <c r="CE10" s="482"/>
      <c r="CF10" s="299" t="str">
        <f t="shared" si="28"/>
        <v>-</v>
      </c>
      <c r="CG10" s="300">
        <f t="shared" si="10"/>
        <v>0</v>
      </c>
      <c r="CH10" s="301" t="str">
        <f t="shared" si="11"/>
        <v>-</v>
      </c>
      <c r="CI10" s="9"/>
      <c r="CL10" s="9"/>
      <c r="CM10" s="322" t="s">
        <v>4</v>
      </c>
      <c r="CN10" s="323">
        <f>SUM(CN5:CN9)</f>
        <v>0</v>
      </c>
      <c r="CO10" s="324">
        <f>SUM(CO5:CO9)</f>
        <v>0</v>
      </c>
      <c r="CP10" s="9"/>
      <c r="CQ10" s="9"/>
      <c r="CR10" s="9"/>
      <c r="CS10" s="9"/>
      <c r="CV10" s="9"/>
      <c r="CW10" s="484"/>
      <c r="CX10" s="485"/>
      <c r="CY10" s="487"/>
      <c r="CZ10" s="487"/>
      <c r="DA10" s="485"/>
      <c r="DB10" s="278">
        <f t="shared" si="13"/>
        <v>0</v>
      </c>
      <c r="DC10" s="9"/>
      <c r="DD10" s="9"/>
      <c r="DE10" s="9"/>
      <c r="DF10" s="9"/>
      <c r="DI10" s="9"/>
      <c r="DJ10" s="484"/>
      <c r="DK10" s="489"/>
      <c r="DL10" s="9" t="str">
        <f t="shared" si="0"/>
        <v>-</v>
      </c>
      <c r="DM10" s="485"/>
      <c r="DN10" s="485"/>
      <c r="DO10" s="279" t="str">
        <f t="shared" si="14"/>
        <v/>
      </c>
      <c r="DP10" s="485"/>
      <c r="DQ10" s="278" t="str">
        <f t="shared" si="15"/>
        <v/>
      </c>
      <c r="DR10" s="9"/>
      <c r="DS10" s="9"/>
      <c r="DT10" s="9"/>
      <c r="DU10" s="9"/>
      <c r="DX10" s="9"/>
      <c r="DY10" s="325"/>
      <c r="DZ10" s="326"/>
      <c r="EA10" s="326" t="s">
        <v>252</v>
      </c>
      <c r="EB10" s="327">
        <f>SUM(EB6:EB9)</f>
        <v>0</v>
      </c>
      <c r="EC10" s="9"/>
      <c r="ED10" s="9"/>
      <c r="EE10" s="9"/>
      <c r="EF10" s="9"/>
      <c r="EJ10" s="9"/>
      <c r="EK10" s="281" t="s">
        <v>268</v>
      </c>
      <c r="EL10" s="499">
        <f>IFERROR((EB6-EB12)/CO12,)</f>
        <v>0</v>
      </c>
      <c r="EM10" s="9"/>
      <c r="EN10" s="9"/>
      <c r="EO10" s="9"/>
      <c r="EP10" s="9"/>
    </row>
    <row r="11" spans="1:146" ht="18.95" customHeight="1" thickBot="1" x14ac:dyDescent="0.3">
      <c r="A11" s="614" t="s">
        <v>262</v>
      </c>
      <c r="B11" s="615"/>
      <c r="C11" s="615"/>
      <c r="D11" s="615"/>
      <c r="E11" s="615"/>
      <c r="F11" s="616"/>
      <c r="G11" s="283"/>
      <c r="H11" s="284"/>
      <c r="I11" s="318" t="s">
        <v>341</v>
      </c>
      <c r="J11" s="458"/>
      <c r="K11" s="319" t="s">
        <v>342</v>
      </c>
      <c r="L11" s="284"/>
      <c r="M11" s="283"/>
      <c r="N11" s="283"/>
      <c r="O11" s="259">
        <f>SUM(R5:R11)</f>
        <v>0</v>
      </c>
      <c r="P11" s="260">
        <v>7</v>
      </c>
      <c r="Q11" s="461"/>
      <c r="R11" s="287">
        <f t="shared" si="1"/>
        <v>0</v>
      </c>
      <c r="S11" s="467"/>
      <c r="T11" s="464"/>
      <c r="U11" s="465"/>
      <c r="V11" s="468"/>
      <c r="W11" s="467"/>
      <c r="X11" s="262">
        <f t="shared" si="2"/>
        <v>0</v>
      </c>
      <c r="Y11" s="263" t="str">
        <f t="shared" si="3"/>
        <v>-</v>
      </c>
      <c r="Z11" s="264">
        <v>7</v>
      </c>
      <c r="AA11" s="474"/>
      <c r="AB11" s="474"/>
      <c r="AC11" s="467"/>
      <c r="AD11" s="262">
        <f t="shared" si="4"/>
        <v>0</v>
      </c>
      <c r="AE11" s="265" t="str">
        <f t="shared" si="5"/>
        <v>-</v>
      </c>
      <c r="AF11" s="266" t="str">
        <f t="shared" si="6"/>
        <v>-</v>
      </c>
      <c r="AG11" s="9"/>
      <c r="AH11" s="259" t="s">
        <v>369</v>
      </c>
      <c r="AI11" s="9"/>
      <c r="AJ11" s="9"/>
      <c r="AK11" s="9"/>
      <c r="AL11" s="283"/>
      <c r="AM11" s="259">
        <v>6</v>
      </c>
      <c r="AN11" s="310" t="str">
        <f t="shared" si="29"/>
        <v>-</v>
      </c>
      <c r="AO11" s="9" t="str">
        <f t="shared" si="16"/>
        <v>-</v>
      </c>
      <c r="AP11" s="289" t="str">
        <f t="shared" si="17"/>
        <v>-</v>
      </c>
      <c r="AQ11" s="9" t="str">
        <f t="shared" si="18"/>
        <v>-</v>
      </c>
      <c r="AR11" s="453"/>
      <c r="AS11" s="453"/>
      <c r="AT11" s="229" t="str">
        <f t="shared" si="19"/>
        <v>-</v>
      </c>
      <c r="AU11" s="290" t="str">
        <f t="shared" si="20"/>
        <v>N/A</v>
      </c>
      <c r="AV11" s="453"/>
      <c r="AW11" s="290" t="str">
        <f t="shared" si="7"/>
        <v>N/A</v>
      </c>
      <c r="AX11" s="453"/>
      <c r="AY11" s="290" t="str">
        <f t="shared" si="21"/>
        <v>N/A</v>
      </c>
      <c r="AZ11" s="453"/>
      <c r="BA11" s="291" t="str">
        <f t="shared" si="22"/>
        <v>N/A</v>
      </c>
      <c r="BB11" s="292" t="str">
        <f t="shared" si="23"/>
        <v>-</v>
      </c>
      <c r="BC11" s="512" t="str">
        <f t="shared" si="24"/>
        <v>-</v>
      </c>
      <c r="BD11" s="293" t="str">
        <f t="shared" si="25"/>
        <v>-</v>
      </c>
      <c r="BE11" s="293" t="str">
        <f t="shared" si="26"/>
        <v>-</v>
      </c>
      <c r="BF11" s="294" t="str">
        <f t="shared" si="27"/>
        <v>-</v>
      </c>
      <c r="BG11" s="9"/>
      <c r="BH11" s="9"/>
      <c r="BI11" s="9"/>
      <c r="BJ11" s="9"/>
      <c r="BM11" s="9"/>
      <c r="BN11" s="479" t="s">
        <v>293</v>
      </c>
      <c r="BO11" s="480"/>
      <c r="BP11" s="481"/>
      <c r="BQ11" s="329">
        <f>IF($BP11-$BO11&gt;0,$BP11-$BO11,0)</f>
        <v>0</v>
      </c>
      <c r="BR11" s="330">
        <f>IF(ISBLANK(BO11),0,IF(AND(Feed!D$3&gt;$BP11,$BP11&gt;Feed!C$3),$BQ11,MAX(MIN($BP11,Feed!D$3)-$BO11,0)))</f>
        <v>0</v>
      </c>
      <c r="BS11" s="330">
        <f>IF(ISBLANK(BO11),0,IF(AND(Feed!E$3&gt;$BP11,$BP11&gt;Feed!D$3),$BQ11,MAX(MIN($BP11,Feed!E$3)-$BO11-BR11,0)))</f>
        <v>0</v>
      </c>
      <c r="BT11" s="330">
        <f>IF(ISBLANK($BO11),0,IF(OR(Feed!$F$3-$BO11&lt;0,$BP11&lt;Feed!$E$3),0,MIN($BP11,Feed!$F$3)-MAX(Feed!$E$3,$BO11)))</f>
        <v>0</v>
      </c>
      <c r="BU11" s="330">
        <f>IF($BP11&gt;Feed!$F$3,$BP11-Feed!$F$3,0)</f>
        <v>0</v>
      </c>
      <c r="BV11" s="331">
        <f>CH58</f>
        <v>0</v>
      </c>
      <c r="BW11" s="508">
        <f>CH56</f>
        <v>78.359787947924048</v>
      </c>
      <c r="BX11" s="331">
        <f>IF($BV11=0,0,$BV11-$BW11)</f>
        <v>0</v>
      </c>
      <c r="BY11" s="333" t="str">
        <f>CF56</f>
        <v>-</v>
      </c>
      <c r="BZ11" s="9"/>
      <c r="CA11" s="476"/>
      <c r="CB11" s="515">
        <f>IFERROR(VLOOKUP(CA11,Feed!$B$4:$H$19,2,FALSE)*($BR$7/$BQ$7)+VLOOKUP(CA11,Feed!$B$4:$H$19,3,FALSE)*($BS$7/$BQ$7)+VLOOKUP(CA11,Feed!$B$4:$H$19,4,FALSE)*($BT$7/$BQ$7)+VLOOKUP(CA11,Feed!$B$4:$H$19,5,FALSE)*($BU$7/$BQ$7),0)</f>
        <v>0</v>
      </c>
      <c r="CC11" s="299" t="str">
        <f t="shared" si="8"/>
        <v>-</v>
      </c>
      <c r="CD11" s="299" t="str">
        <f t="shared" si="9"/>
        <v>-</v>
      </c>
      <c r="CE11" s="482"/>
      <c r="CF11" s="299" t="str">
        <f t="shared" si="28"/>
        <v>-</v>
      </c>
      <c r="CG11" s="300">
        <f t="shared" si="10"/>
        <v>0</v>
      </c>
      <c r="CH11" s="301" t="str">
        <f t="shared" si="11"/>
        <v>-</v>
      </c>
      <c r="CI11" s="9"/>
      <c r="CL11" s="9"/>
      <c r="CM11" s="254" t="s">
        <v>224</v>
      </c>
      <c r="CN11" s="255"/>
      <c r="CO11" s="276" t="str">
        <f>IFERROR(SUMPRODUCT(CN5:CN9,CP5:CP9)/CN10,"-")</f>
        <v>-</v>
      </c>
      <c r="CP11" s="9"/>
      <c r="CQ11" s="9"/>
      <c r="CR11" s="9"/>
      <c r="CS11" s="9"/>
      <c r="CV11" s="9"/>
      <c r="CW11" s="484"/>
      <c r="CX11" s="485"/>
      <c r="CY11" s="487"/>
      <c r="CZ11" s="487"/>
      <c r="DA11" s="485"/>
      <c r="DB11" s="278">
        <f t="shared" si="13"/>
        <v>0</v>
      </c>
      <c r="DC11" s="9"/>
      <c r="DD11" s="9"/>
      <c r="DE11" s="9"/>
      <c r="DF11" s="9"/>
      <c r="DI11" s="9"/>
      <c r="DJ11" s="484"/>
      <c r="DK11" s="485"/>
      <c r="DL11" s="9" t="str">
        <f t="shared" si="0"/>
        <v>-</v>
      </c>
      <c r="DM11" s="485"/>
      <c r="DN11" s="485"/>
      <c r="DO11" s="279" t="str">
        <f t="shared" si="14"/>
        <v/>
      </c>
      <c r="DP11" s="485"/>
      <c r="DQ11" s="278" t="str">
        <f t="shared" si="15"/>
        <v/>
      </c>
      <c r="DR11" s="9"/>
      <c r="DS11" s="9"/>
      <c r="DT11" s="9"/>
      <c r="DU11" s="9"/>
      <c r="DX11" s="9"/>
      <c r="DY11" s="620" t="s">
        <v>250</v>
      </c>
      <c r="DZ11" s="621"/>
      <c r="EA11" s="621"/>
      <c r="EB11" s="622"/>
      <c r="EC11" s="9"/>
      <c r="ED11" s="9"/>
      <c r="EE11" s="9"/>
      <c r="EF11" s="9"/>
      <c r="EJ11" s="9"/>
      <c r="EK11" s="334" t="s">
        <v>265</v>
      </c>
      <c r="EL11" s="500">
        <f>EB10*R15</f>
        <v>0</v>
      </c>
      <c r="EM11" s="9"/>
      <c r="EN11" s="9"/>
      <c r="EO11" s="9"/>
      <c r="EP11" s="9"/>
    </row>
    <row r="12" spans="1:146" ht="18.95" customHeight="1" x14ac:dyDescent="0.25">
      <c r="A12" s="614" t="s">
        <v>434</v>
      </c>
      <c r="B12" s="615"/>
      <c r="C12" s="615"/>
      <c r="D12" s="615"/>
      <c r="E12" s="615"/>
      <c r="F12" s="616"/>
      <c r="G12" s="283"/>
      <c r="H12" s="284"/>
      <c r="I12" s="318" t="s">
        <v>96</v>
      </c>
      <c r="J12" s="459"/>
      <c r="K12" s="336" t="s">
        <v>56</v>
      </c>
      <c r="L12" s="284"/>
      <c r="M12" s="283"/>
      <c r="N12" s="283"/>
      <c r="O12" s="259">
        <f>SUM(R5:R12)</f>
        <v>0</v>
      </c>
      <c r="P12" s="260">
        <v>8</v>
      </c>
      <c r="Q12" s="461"/>
      <c r="R12" s="287">
        <f t="shared" si="1"/>
        <v>0</v>
      </c>
      <c r="S12" s="467"/>
      <c r="T12" s="464"/>
      <c r="U12" s="465"/>
      <c r="V12" s="468"/>
      <c r="W12" s="467"/>
      <c r="X12" s="262">
        <f t="shared" si="2"/>
        <v>0</v>
      </c>
      <c r="Y12" s="263" t="str">
        <f t="shared" si="3"/>
        <v>-</v>
      </c>
      <c r="Z12" s="264">
        <v>8</v>
      </c>
      <c r="AA12" s="474"/>
      <c r="AB12" s="474"/>
      <c r="AC12" s="467"/>
      <c r="AD12" s="262">
        <f t="shared" si="4"/>
        <v>0</v>
      </c>
      <c r="AE12" s="265" t="str">
        <f t="shared" si="5"/>
        <v>-</v>
      </c>
      <c r="AF12" s="266" t="str">
        <f t="shared" si="6"/>
        <v>-</v>
      </c>
      <c r="AG12" s="9"/>
      <c r="AH12" s="9"/>
      <c r="AI12" s="9"/>
      <c r="AJ12" s="9"/>
      <c r="AK12" s="9"/>
      <c r="AL12" s="283"/>
      <c r="AM12" s="259">
        <v>7</v>
      </c>
      <c r="AN12" s="310" t="str">
        <f t="shared" si="29"/>
        <v>-</v>
      </c>
      <c r="AO12" s="9" t="str">
        <f t="shared" si="16"/>
        <v>-</v>
      </c>
      <c r="AP12" s="289" t="str">
        <f t="shared" si="17"/>
        <v>-</v>
      </c>
      <c r="AQ12" s="9" t="str">
        <f t="shared" si="18"/>
        <v>-</v>
      </c>
      <c r="AR12" s="453"/>
      <c r="AS12" s="453"/>
      <c r="AT12" s="229" t="str">
        <f t="shared" si="19"/>
        <v>-</v>
      </c>
      <c r="AU12" s="290" t="str">
        <f t="shared" si="20"/>
        <v>N/A</v>
      </c>
      <c r="AV12" s="453"/>
      <c r="AW12" s="290" t="str">
        <f t="shared" si="7"/>
        <v>N/A</v>
      </c>
      <c r="AX12" s="453"/>
      <c r="AY12" s="290" t="str">
        <f t="shared" si="21"/>
        <v>N/A</v>
      </c>
      <c r="AZ12" s="453"/>
      <c r="BA12" s="291" t="str">
        <f t="shared" si="22"/>
        <v>N/A</v>
      </c>
      <c r="BB12" s="292" t="str">
        <f t="shared" si="23"/>
        <v>-</v>
      </c>
      <c r="BC12" s="512" t="str">
        <f t="shared" si="24"/>
        <v>-</v>
      </c>
      <c r="BD12" s="293" t="str">
        <f t="shared" si="25"/>
        <v>-</v>
      </c>
      <c r="BE12" s="293" t="str">
        <f t="shared" si="26"/>
        <v>-</v>
      </c>
      <c r="BF12" s="294" t="str">
        <f t="shared" si="27"/>
        <v>-</v>
      </c>
      <c r="BG12" s="9"/>
      <c r="BH12" s="9"/>
      <c r="BI12" s="9"/>
      <c r="BJ12" s="9"/>
      <c r="BM12" s="9"/>
      <c r="BN12" s="9"/>
      <c r="BO12" s="9"/>
      <c r="BP12" s="9" t="s">
        <v>370</v>
      </c>
      <c r="BQ12" s="337">
        <f>SUM(BQ7:BQ11)</f>
        <v>0</v>
      </c>
      <c r="BR12" s="9"/>
      <c r="BS12" s="9"/>
      <c r="BT12" s="9"/>
      <c r="BU12" s="9"/>
      <c r="BV12" s="9"/>
      <c r="BW12" s="9"/>
      <c r="BX12" s="9"/>
      <c r="BY12" s="9"/>
      <c r="BZ12" s="9"/>
      <c r="CA12" s="338" t="s">
        <v>330</v>
      </c>
      <c r="CB12" s="516">
        <f>'AUM Evaluator'!$S$9*$CB$61</f>
        <v>78.359787947924048</v>
      </c>
      <c r="CC12" s="299">
        <v>1</v>
      </c>
      <c r="CD12" s="340">
        <v>0</v>
      </c>
      <c r="CE12" s="483"/>
      <c r="CF12" s="341" t="str">
        <f t="shared" si="28"/>
        <v>-</v>
      </c>
      <c r="CG12" s="342">
        <f t="shared" si="10"/>
        <v>0</v>
      </c>
      <c r="CH12" s="343">
        <f t="shared" si="11"/>
        <v>78.359787947924048</v>
      </c>
      <c r="CI12" s="9"/>
      <c r="CL12" s="9"/>
      <c r="CM12" s="254" t="s">
        <v>255</v>
      </c>
      <c r="CN12" s="255"/>
      <c r="CO12" s="276">
        <f>MAX(AZ56,AX56,AV56,AS56,AR56)-AR56</f>
        <v>0</v>
      </c>
      <c r="CP12" s="9"/>
      <c r="CQ12" s="9"/>
      <c r="CR12" s="9"/>
      <c r="CS12" s="9"/>
      <c r="CV12" s="9"/>
      <c r="CW12" s="484"/>
      <c r="CX12" s="485"/>
      <c r="CY12" s="487"/>
      <c r="CZ12" s="487"/>
      <c r="DA12" s="485"/>
      <c r="DB12" s="278">
        <f t="shared" si="13"/>
        <v>0</v>
      </c>
      <c r="DC12" s="9"/>
      <c r="DD12" s="9"/>
      <c r="DE12" s="9"/>
      <c r="DF12" s="9"/>
      <c r="DI12" s="9"/>
      <c r="DJ12" s="484"/>
      <c r="DK12" s="485"/>
      <c r="DL12" s="9" t="str">
        <f t="shared" si="0"/>
        <v>-</v>
      </c>
      <c r="DM12" s="485"/>
      <c r="DN12" s="485"/>
      <c r="DO12" s="279" t="str">
        <f t="shared" si="14"/>
        <v/>
      </c>
      <c r="DP12" s="485"/>
      <c r="DQ12" s="278" t="str">
        <f t="shared" si="15"/>
        <v/>
      </c>
      <c r="DR12" s="9"/>
      <c r="DS12" s="9"/>
      <c r="DT12" s="9"/>
      <c r="DU12" s="9"/>
      <c r="DX12" s="9"/>
      <c r="DY12" s="304" t="s">
        <v>232</v>
      </c>
      <c r="DZ12" s="306" t="str">
        <f>ROUND(AR56,0)&amp; " pounds at $"&amp;ROUND(W15/100,2)&amp;" per pound"</f>
        <v>0 pounds at $0 per pound</v>
      </c>
      <c r="EA12" s="306"/>
      <c r="EB12" s="344">
        <f>Y15</f>
        <v>0</v>
      </c>
      <c r="EC12" s="9"/>
      <c r="ED12" s="9"/>
      <c r="EE12" s="9"/>
      <c r="EF12" s="9"/>
      <c r="EJ12" s="9"/>
      <c r="EK12" s="334" t="s">
        <v>259</v>
      </c>
      <c r="EL12" s="500">
        <f>EB10</f>
        <v>0</v>
      </c>
      <c r="EM12" s="9"/>
      <c r="EN12" s="9"/>
      <c r="EO12" s="9"/>
      <c r="EP12" s="9"/>
    </row>
    <row r="13" spans="1:146" ht="18.95" customHeight="1" thickBot="1" x14ac:dyDescent="0.3">
      <c r="G13" s="283"/>
      <c r="H13" s="284"/>
      <c r="I13" s="345" t="s">
        <v>3</v>
      </c>
      <c r="J13" s="460"/>
      <c r="K13" s="346" t="s">
        <v>46</v>
      </c>
      <c r="L13" s="284"/>
      <c r="M13" s="283"/>
      <c r="N13" s="283"/>
      <c r="O13" s="259">
        <f>SUM(R5:R13)</f>
        <v>0</v>
      </c>
      <c r="P13" s="260">
        <v>9</v>
      </c>
      <c r="Q13" s="461"/>
      <c r="R13" s="287">
        <f t="shared" si="1"/>
        <v>0</v>
      </c>
      <c r="S13" s="467"/>
      <c r="T13" s="464"/>
      <c r="U13" s="465"/>
      <c r="V13" s="468"/>
      <c r="W13" s="467"/>
      <c r="X13" s="262">
        <f t="shared" si="2"/>
        <v>0</v>
      </c>
      <c r="Y13" s="263" t="str">
        <f t="shared" si="3"/>
        <v>-</v>
      </c>
      <c r="Z13" s="264">
        <v>9</v>
      </c>
      <c r="AA13" s="474"/>
      <c r="AB13" s="474"/>
      <c r="AC13" s="467"/>
      <c r="AD13" s="262">
        <f t="shared" si="4"/>
        <v>0</v>
      </c>
      <c r="AE13" s="265" t="str">
        <f t="shared" si="5"/>
        <v>-</v>
      </c>
      <c r="AF13" s="266" t="str">
        <f t="shared" si="6"/>
        <v>-</v>
      </c>
      <c r="AG13" s="9"/>
      <c r="AH13" s="9"/>
      <c r="AI13" s="9"/>
      <c r="AJ13" s="9"/>
      <c r="AK13" s="9"/>
      <c r="AL13" s="283"/>
      <c r="AM13" s="259">
        <v>8</v>
      </c>
      <c r="AN13" s="310" t="str">
        <f t="shared" si="29"/>
        <v>-</v>
      </c>
      <c r="AO13" s="9" t="str">
        <f t="shared" si="16"/>
        <v>-</v>
      </c>
      <c r="AP13" s="289" t="str">
        <f t="shared" si="17"/>
        <v>-</v>
      </c>
      <c r="AQ13" s="9" t="str">
        <f t="shared" si="18"/>
        <v>-</v>
      </c>
      <c r="AR13" s="453"/>
      <c r="AS13" s="453"/>
      <c r="AT13" s="229" t="str">
        <f t="shared" si="19"/>
        <v>-</v>
      </c>
      <c r="AU13" s="290" t="str">
        <f t="shared" si="20"/>
        <v>N/A</v>
      </c>
      <c r="AV13" s="453"/>
      <c r="AW13" s="290" t="str">
        <f t="shared" si="7"/>
        <v>N/A</v>
      </c>
      <c r="AX13" s="453"/>
      <c r="AY13" s="290" t="str">
        <f t="shared" si="21"/>
        <v>N/A</v>
      </c>
      <c r="AZ13" s="453"/>
      <c r="BA13" s="291" t="str">
        <f t="shared" si="22"/>
        <v>N/A</v>
      </c>
      <c r="BB13" s="292" t="str">
        <f t="shared" si="23"/>
        <v>-</v>
      </c>
      <c r="BC13" s="512" t="str">
        <f t="shared" si="24"/>
        <v>-</v>
      </c>
      <c r="BD13" s="293" t="str">
        <f t="shared" si="25"/>
        <v>-</v>
      </c>
      <c r="BE13" s="293" t="str">
        <f t="shared" si="26"/>
        <v>-</v>
      </c>
      <c r="BF13" s="294" t="str">
        <f t="shared" si="27"/>
        <v>-</v>
      </c>
      <c r="BG13" s="9"/>
      <c r="BH13" s="259" t="s">
        <v>301</v>
      </c>
      <c r="BI13" s="9"/>
      <c r="BJ13" s="9"/>
      <c r="BN13" s="347" t="s">
        <v>293</v>
      </c>
      <c r="BZ13" s="9"/>
      <c r="CA13" s="348"/>
      <c r="CB13" s="349"/>
      <c r="CC13" s="350" t="s">
        <v>58</v>
      </c>
      <c r="CD13" s="351"/>
      <c r="CE13" s="352">
        <f>SUM(CE6:CE12)</f>
        <v>0</v>
      </c>
      <c r="CF13" s="353">
        <f>SUM(CF6:CF12)</f>
        <v>0</v>
      </c>
      <c r="CG13" s="352">
        <f t="shared" si="10"/>
        <v>0</v>
      </c>
      <c r="CH13" s="354"/>
      <c r="CI13" s="9"/>
      <c r="CL13" s="9"/>
      <c r="CM13" s="254" t="s">
        <v>254</v>
      </c>
      <c r="CN13" s="255"/>
      <c r="CO13" s="276" t="str">
        <f>BD56</f>
        <v>-</v>
      </c>
      <c r="CP13" s="9"/>
      <c r="CQ13" s="9"/>
      <c r="CR13" s="9"/>
      <c r="CS13" s="9"/>
      <c r="CV13" s="9"/>
      <c r="CW13" s="484"/>
      <c r="CX13" s="485"/>
      <c r="CY13" s="487"/>
      <c r="CZ13" s="487"/>
      <c r="DA13" s="485"/>
      <c r="DB13" s="278">
        <f t="shared" si="13"/>
        <v>0</v>
      </c>
      <c r="DC13" s="9"/>
      <c r="DD13" s="9"/>
      <c r="DE13" s="9"/>
      <c r="DF13" s="9"/>
      <c r="DI13" s="9"/>
      <c r="DJ13" s="484"/>
      <c r="DK13" s="485"/>
      <c r="DL13" s="9" t="str">
        <f t="shared" si="0"/>
        <v>-</v>
      </c>
      <c r="DM13" s="485"/>
      <c r="DN13" s="485"/>
      <c r="DO13" s="279" t="str">
        <f t="shared" si="14"/>
        <v/>
      </c>
      <c r="DP13" s="485"/>
      <c r="DQ13" s="278" t="str">
        <f t="shared" si="15"/>
        <v/>
      </c>
      <c r="DR13" s="9"/>
      <c r="DS13" s="9"/>
      <c r="DT13" s="9"/>
      <c r="DU13" s="9"/>
      <c r="DX13" s="9"/>
      <c r="DY13" s="304" t="s">
        <v>238</v>
      </c>
      <c r="DZ13" s="306"/>
      <c r="EA13" s="306"/>
      <c r="EB13" s="344">
        <f>J6</f>
        <v>0</v>
      </c>
      <c r="EC13" s="9"/>
      <c r="ED13" s="9"/>
      <c r="EE13" s="9"/>
      <c r="EF13" s="9"/>
      <c r="EJ13" s="9"/>
      <c r="EK13" s="334" t="s">
        <v>128</v>
      </c>
      <c r="EL13" s="501">
        <f>EB24*R15</f>
        <v>0</v>
      </c>
      <c r="EM13" s="9"/>
      <c r="EN13" s="9"/>
      <c r="EO13" s="9"/>
      <c r="EP13" s="9"/>
    </row>
    <row r="14" spans="1:146" ht="18.95" customHeight="1" thickBot="1" x14ac:dyDescent="0.3">
      <c r="H14" s="9"/>
      <c r="I14" s="356"/>
      <c r="J14" s="9"/>
      <c r="K14" s="9"/>
      <c r="L14" s="9"/>
      <c r="O14" s="259">
        <f>SUM(R5:R14)</f>
        <v>0</v>
      </c>
      <c r="P14" s="357">
        <v>10</v>
      </c>
      <c r="Q14" s="462"/>
      <c r="R14" s="358">
        <f t="shared" si="1"/>
        <v>0</v>
      </c>
      <c r="S14" s="469"/>
      <c r="T14" s="470"/>
      <c r="U14" s="471"/>
      <c r="V14" s="472"/>
      <c r="W14" s="473"/>
      <c r="X14" s="359">
        <f t="shared" si="2"/>
        <v>0</v>
      </c>
      <c r="Y14" s="360" t="str">
        <f t="shared" si="3"/>
        <v>-</v>
      </c>
      <c r="Z14" s="527">
        <v>10</v>
      </c>
      <c r="AA14" s="475"/>
      <c r="AB14" s="475"/>
      <c r="AC14" s="473"/>
      <c r="AD14" s="359">
        <f t="shared" si="4"/>
        <v>0</v>
      </c>
      <c r="AE14" s="361" t="str">
        <f t="shared" si="5"/>
        <v>-</v>
      </c>
      <c r="AF14" s="362" t="str">
        <f t="shared" si="6"/>
        <v>-</v>
      </c>
      <c r="AG14" s="9"/>
      <c r="AH14" s="9"/>
      <c r="AI14" s="9"/>
      <c r="AJ14" s="9"/>
      <c r="AK14" s="9"/>
      <c r="AM14" s="259">
        <v>9</v>
      </c>
      <c r="AN14" s="310" t="str">
        <f t="shared" si="29"/>
        <v>-</v>
      </c>
      <c r="AO14" s="9" t="str">
        <f t="shared" si="16"/>
        <v>-</v>
      </c>
      <c r="AP14" s="289" t="str">
        <f t="shared" si="17"/>
        <v>-</v>
      </c>
      <c r="AQ14" s="9" t="str">
        <f t="shared" si="18"/>
        <v>-</v>
      </c>
      <c r="AR14" s="453"/>
      <c r="AS14" s="453"/>
      <c r="AT14" s="229" t="str">
        <f t="shared" si="19"/>
        <v>-</v>
      </c>
      <c r="AU14" s="290" t="str">
        <f t="shared" si="20"/>
        <v>N/A</v>
      </c>
      <c r="AV14" s="453"/>
      <c r="AW14" s="290" t="str">
        <f t="shared" si="7"/>
        <v>N/A</v>
      </c>
      <c r="AX14" s="453"/>
      <c r="AY14" s="290" t="str">
        <f t="shared" si="21"/>
        <v>N/A</v>
      </c>
      <c r="AZ14" s="453"/>
      <c r="BA14" s="291" t="str">
        <f t="shared" si="22"/>
        <v>N/A</v>
      </c>
      <c r="BB14" s="292" t="str">
        <f t="shared" si="23"/>
        <v>-</v>
      </c>
      <c r="BC14" s="512" t="str">
        <f t="shared" si="24"/>
        <v>-</v>
      </c>
      <c r="BD14" s="293" t="str">
        <f t="shared" si="25"/>
        <v>-</v>
      </c>
      <c r="BE14" s="293" t="str">
        <f t="shared" si="26"/>
        <v>-</v>
      </c>
      <c r="BF14" s="294" t="str">
        <f t="shared" si="27"/>
        <v>-</v>
      </c>
      <c r="BG14" s="9"/>
      <c r="BH14" s="259" t="s">
        <v>302</v>
      </c>
      <c r="BI14" s="9"/>
      <c r="BJ14" s="9"/>
      <c r="BN14" s="347" t="s">
        <v>293</v>
      </c>
      <c r="BO14" s="213"/>
      <c r="BP14" s="213"/>
      <c r="BQ14" s="213"/>
      <c r="BR14" s="213"/>
      <c r="BS14" s="213"/>
      <c r="BT14" s="213"/>
      <c r="BU14" s="213"/>
      <c r="BZ14" s="9"/>
      <c r="CA14" s="363"/>
      <c r="CB14" s="364"/>
      <c r="CC14" s="365"/>
      <c r="CD14" s="366" t="s">
        <v>226</v>
      </c>
      <c r="CE14" s="366"/>
      <c r="CF14" s="367"/>
      <c r="CG14" s="367"/>
      <c r="CH14" s="368">
        <f>SUMPRODUCT(CF6:CF12,CH6:CH12,CC6:CC12)</f>
        <v>0</v>
      </c>
      <c r="CI14" s="9"/>
      <c r="CL14" s="9"/>
      <c r="CM14" s="254" t="s">
        <v>257</v>
      </c>
      <c r="CN14" s="255"/>
      <c r="CO14" s="276">
        <f>IFERROR(CO18/CO12,)</f>
        <v>0</v>
      </c>
      <c r="CP14" s="9"/>
      <c r="CQ14" s="9"/>
      <c r="CR14" s="9"/>
      <c r="CS14" s="9"/>
      <c r="CV14" s="9"/>
      <c r="CW14" s="484"/>
      <c r="CX14" s="485"/>
      <c r="CY14" s="487"/>
      <c r="CZ14" s="487"/>
      <c r="DA14" s="485"/>
      <c r="DB14" s="278">
        <f t="shared" si="13"/>
        <v>0</v>
      </c>
      <c r="DC14" s="9"/>
      <c r="DD14" s="9"/>
      <c r="DE14" s="9"/>
      <c r="DF14" s="9"/>
      <c r="DI14" s="9"/>
      <c r="DJ14" s="484"/>
      <c r="DK14" s="485"/>
      <c r="DL14" s="9" t="str">
        <f t="shared" si="0"/>
        <v>-</v>
      </c>
      <c r="DM14" s="485"/>
      <c r="DN14" s="485"/>
      <c r="DO14" s="279" t="str">
        <f t="shared" si="14"/>
        <v/>
      </c>
      <c r="DP14" s="485"/>
      <c r="DQ14" s="278" t="str">
        <f t="shared" si="15"/>
        <v/>
      </c>
      <c r="DR14" s="9"/>
      <c r="DS14" s="9"/>
      <c r="DT14" s="9"/>
      <c r="DU14" s="9"/>
      <c r="DX14" s="9"/>
      <c r="DY14" s="304" t="s">
        <v>122</v>
      </c>
      <c r="DZ14" s="306"/>
      <c r="EA14" s="306"/>
      <c r="EB14" s="344" t="str">
        <f>IFERROR(CO18,)</f>
        <v>-</v>
      </c>
      <c r="EC14" s="9"/>
      <c r="ED14" s="9"/>
      <c r="EE14" s="9"/>
      <c r="EF14" s="9"/>
      <c r="EJ14" s="9"/>
      <c r="EK14" s="334" t="s">
        <v>260</v>
      </c>
      <c r="EL14" s="501">
        <f>EB24</f>
        <v>0</v>
      </c>
      <c r="EM14" s="9"/>
      <c r="EN14" s="9"/>
      <c r="EO14" s="9"/>
      <c r="EP14" s="9"/>
    </row>
    <row r="15" spans="1:146" ht="18.95" customHeight="1" thickBot="1" x14ac:dyDescent="0.3">
      <c r="H15" s="9"/>
      <c r="I15" s="9"/>
      <c r="J15" s="9"/>
      <c r="K15" s="9"/>
      <c r="L15" s="9"/>
      <c r="O15" s="9"/>
      <c r="P15" s="369"/>
      <c r="Q15" s="370" t="s">
        <v>186</v>
      </c>
      <c r="R15" s="370">
        <f>SUM(R5:R14)</f>
        <v>0</v>
      </c>
      <c r="S15" s="370"/>
      <c r="T15" s="370"/>
      <c r="U15" s="370"/>
      <c r="V15" s="371" t="str">
        <f>IFERROR(SUMPRODUCT(R5:R14,V5:V14)/R15,"-")</f>
        <v>-</v>
      </c>
      <c r="W15" s="372">
        <f>IFERROR(AVERAGE(W5:W14),)</f>
        <v>0</v>
      </c>
      <c r="X15" s="372">
        <f>SUM(X5:X14)</f>
        <v>0</v>
      </c>
      <c r="Y15" s="373">
        <f>IFERROR(AVERAGE(Y5:Y14),)</f>
        <v>0</v>
      </c>
      <c r="Z15" s="372"/>
      <c r="AA15" s="374">
        <f>SUM(AA5:AA14)</f>
        <v>0</v>
      </c>
      <c r="AB15" s="371" t="str">
        <f>IFERROR(SUMPRODUCT(AA5:AA14,AB5:AB14)/AA15,"-")</f>
        <v>-</v>
      </c>
      <c r="AC15" s="372">
        <f>IFERROR(SUMPRODUCT(AA5:AA14,AC5:AC14,AB5:AB14)/(AA15*AB15),)</f>
        <v>0</v>
      </c>
      <c r="AD15" s="372">
        <f>SUM(AD5:AD14)</f>
        <v>0</v>
      </c>
      <c r="AE15" s="372">
        <f>IFERROR(AVERAGE(AE5:AE14),)</f>
        <v>0</v>
      </c>
      <c r="AF15" s="373">
        <f>IFERROR(SUMPRODUCT(AF5:AF14,AA5:AA14)/AA15,0)</f>
        <v>0</v>
      </c>
      <c r="AG15" s="9"/>
      <c r="AH15" s="9"/>
      <c r="AI15" s="9"/>
      <c r="AJ15" s="9"/>
      <c r="AK15" s="9"/>
      <c r="AM15" s="259">
        <v>10</v>
      </c>
      <c r="AN15" s="310" t="str">
        <f t="shared" si="29"/>
        <v>-</v>
      </c>
      <c r="AO15" s="9" t="str">
        <f t="shared" si="16"/>
        <v>-</v>
      </c>
      <c r="AP15" s="289" t="str">
        <f t="shared" si="17"/>
        <v>-</v>
      </c>
      <c r="AQ15" s="9" t="str">
        <f t="shared" si="18"/>
        <v>-</v>
      </c>
      <c r="AR15" s="453"/>
      <c r="AS15" s="453"/>
      <c r="AT15" s="229" t="str">
        <f t="shared" si="19"/>
        <v>-</v>
      </c>
      <c r="AU15" s="290" t="str">
        <f t="shared" si="20"/>
        <v>N/A</v>
      </c>
      <c r="AV15" s="453"/>
      <c r="AW15" s="290" t="str">
        <f t="shared" si="7"/>
        <v>N/A</v>
      </c>
      <c r="AX15" s="453"/>
      <c r="AY15" s="290" t="str">
        <f t="shared" si="21"/>
        <v>N/A</v>
      </c>
      <c r="AZ15" s="453"/>
      <c r="BA15" s="291" t="str">
        <f t="shared" si="22"/>
        <v>N/A</v>
      </c>
      <c r="BB15" s="292" t="str">
        <f t="shared" si="23"/>
        <v>-</v>
      </c>
      <c r="BC15" s="512" t="str">
        <f t="shared" si="24"/>
        <v>-</v>
      </c>
      <c r="BD15" s="293" t="str">
        <f t="shared" si="25"/>
        <v>-</v>
      </c>
      <c r="BE15" s="293" t="str">
        <f t="shared" si="26"/>
        <v>-</v>
      </c>
      <c r="BF15" s="294" t="str">
        <f t="shared" si="27"/>
        <v>-</v>
      </c>
      <c r="BG15" s="9"/>
      <c r="BH15" s="9"/>
      <c r="BI15" s="9"/>
      <c r="BJ15" s="9"/>
      <c r="BN15" s="347" t="s">
        <v>293</v>
      </c>
      <c r="BZ15" s="9"/>
      <c r="CA15" s="9" t="s">
        <v>227</v>
      </c>
      <c r="CB15" s="9"/>
      <c r="CC15" s="9"/>
      <c r="CD15" s="9"/>
      <c r="CE15" s="9"/>
      <c r="CF15" s="9"/>
      <c r="CG15" s="9"/>
      <c r="CH15" s="9"/>
      <c r="CI15" s="9"/>
      <c r="CL15" s="9"/>
      <c r="CM15" s="254" t="s">
        <v>207</v>
      </c>
      <c r="CN15" s="255"/>
      <c r="CO15" s="375" t="str">
        <f>IFERROR(SUMPRODUCT(CN5:CN9,CQ5:CQ9)/CN10,"-")</f>
        <v>-</v>
      </c>
      <c r="CP15" s="9"/>
      <c r="CQ15" s="9"/>
      <c r="CR15" s="9"/>
      <c r="CS15" s="9"/>
      <c r="CV15" s="9"/>
      <c r="CW15" s="484"/>
      <c r="CX15" s="485"/>
      <c r="CY15" s="487"/>
      <c r="CZ15" s="487"/>
      <c r="DA15" s="485"/>
      <c r="DB15" s="278">
        <f t="shared" si="13"/>
        <v>0</v>
      </c>
      <c r="DC15" s="9"/>
      <c r="DD15" s="9"/>
      <c r="DE15" s="9"/>
      <c r="DF15" s="9"/>
      <c r="DI15" s="9"/>
      <c r="DJ15" s="484"/>
      <c r="DK15" s="485"/>
      <c r="DL15" s="9" t="str">
        <f t="shared" si="0"/>
        <v>-</v>
      </c>
      <c r="DM15" s="485"/>
      <c r="DN15" s="485"/>
      <c r="DO15" s="279" t="str">
        <f t="shared" si="14"/>
        <v/>
      </c>
      <c r="DP15" s="485"/>
      <c r="DQ15" s="278" t="str">
        <f t="shared" si="15"/>
        <v/>
      </c>
      <c r="DR15" s="9"/>
      <c r="DS15" s="9"/>
      <c r="DT15" s="9"/>
      <c r="DU15" s="9"/>
      <c r="DX15" s="9"/>
      <c r="DY15" s="304"/>
      <c r="DZ15" s="306"/>
      <c r="EA15" s="306"/>
      <c r="EB15" s="344"/>
      <c r="EC15" s="9"/>
      <c r="ED15" s="9"/>
      <c r="EE15" s="9"/>
      <c r="EF15" s="9"/>
      <c r="EJ15" s="9"/>
      <c r="EK15" s="334" t="s">
        <v>353</v>
      </c>
      <c r="EL15" s="501">
        <f>EB25*R15</f>
        <v>0</v>
      </c>
      <c r="EM15" s="9"/>
      <c r="EN15" s="9"/>
      <c r="EO15" s="9"/>
      <c r="EP15" s="9"/>
    </row>
    <row r="16" spans="1:146" ht="31.5" x14ac:dyDescent="0.25">
      <c r="O16" s="9"/>
      <c r="P16" s="9"/>
      <c r="Q16" s="9"/>
      <c r="R16" s="9"/>
      <c r="S16" s="9"/>
      <c r="T16" s="9"/>
      <c r="U16" s="9"/>
      <c r="V16" s="9"/>
      <c r="W16" s="9"/>
      <c r="X16" s="9"/>
      <c r="Y16" s="9"/>
      <c r="Z16" s="9"/>
      <c r="AA16" s="9"/>
      <c r="AB16" s="9"/>
      <c r="AC16" s="9"/>
      <c r="AD16" s="9"/>
      <c r="AE16" s="9"/>
      <c r="AF16" s="9"/>
      <c r="AG16" s="9"/>
      <c r="AH16" s="9"/>
      <c r="AI16" s="9"/>
      <c r="AJ16" s="9"/>
      <c r="AK16" s="9"/>
      <c r="AM16" s="259">
        <v>11</v>
      </c>
      <c r="AN16" s="310" t="str">
        <f t="shared" si="29"/>
        <v>-</v>
      </c>
      <c r="AO16" s="9" t="str">
        <f t="shared" si="16"/>
        <v>-</v>
      </c>
      <c r="AP16" s="289" t="str">
        <f t="shared" si="17"/>
        <v>-</v>
      </c>
      <c r="AQ16" s="9" t="str">
        <f t="shared" si="18"/>
        <v>-</v>
      </c>
      <c r="AR16" s="453"/>
      <c r="AS16" s="453"/>
      <c r="AT16" s="229" t="str">
        <f t="shared" si="19"/>
        <v>-</v>
      </c>
      <c r="AU16" s="290" t="str">
        <f>IFERROR(IF((AS16-AR16)/AT16&lt;-5,"CHECK INPUTS",(AS16-AR16)/AT16),"N/A")</f>
        <v>N/A</v>
      </c>
      <c r="AV16" s="453"/>
      <c r="AW16" s="290" t="str">
        <f t="shared" si="7"/>
        <v>N/A</v>
      </c>
      <c r="AX16" s="453"/>
      <c r="AY16" s="290" t="str">
        <f t="shared" si="21"/>
        <v>N/A</v>
      </c>
      <c r="AZ16" s="453"/>
      <c r="BA16" s="291" t="str">
        <f t="shared" si="22"/>
        <v>N/A</v>
      </c>
      <c r="BB16" s="292" t="str">
        <f t="shared" si="23"/>
        <v>-</v>
      </c>
      <c r="BC16" s="512" t="str">
        <f t="shared" si="24"/>
        <v>-</v>
      </c>
      <c r="BD16" s="293" t="str">
        <f t="shared" si="25"/>
        <v>-</v>
      </c>
      <c r="BE16" s="293" t="str">
        <f t="shared" si="26"/>
        <v>-</v>
      </c>
      <c r="BF16" s="294" t="str">
        <f t="shared" si="27"/>
        <v>-</v>
      </c>
      <c r="BG16" s="9"/>
      <c r="BH16" s="9"/>
      <c r="BI16" s="9"/>
      <c r="BJ16" s="9"/>
      <c r="BN16" s="347" t="s">
        <v>293</v>
      </c>
      <c r="BZ16" s="9"/>
      <c r="CA16" s="273" t="str">
        <f>IF(BN8=BN17,"-",BN8)</f>
        <v>-</v>
      </c>
      <c r="CB16" s="54" t="s">
        <v>328</v>
      </c>
      <c r="CC16" s="54" t="s">
        <v>205</v>
      </c>
      <c r="CD16" s="54" t="s">
        <v>95</v>
      </c>
      <c r="CE16" s="54" t="s">
        <v>326</v>
      </c>
      <c r="CF16" s="54" t="s">
        <v>206</v>
      </c>
      <c r="CG16" s="54" t="s">
        <v>234</v>
      </c>
      <c r="CH16" s="274" t="s">
        <v>209</v>
      </c>
      <c r="CI16" s="9"/>
      <c r="CL16" s="9"/>
      <c r="CM16" s="254" t="s">
        <v>256</v>
      </c>
      <c r="CN16" s="255"/>
      <c r="CO16" s="276" t="str">
        <f>IFERROR(CO10*CO15,"-")</f>
        <v>-</v>
      </c>
      <c r="CP16" s="9"/>
      <c r="CQ16" s="9"/>
      <c r="CR16" s="9"/>
      <c r="CS16" s="9"/>
      <c r="CV16" s="9"/>
      <c r="CW16" s="484"/>
      <c r="CX16" s="485"/>
      <c r="CY16" s="487"/>
      <c r="CZ16" s="487"/>
      <c r="DA16" s="485"/>
      <c r="DB16" s="278">
        <f t="shared" si="13"/>
        <v>0</v>
      </c>
      <c r="DC16" s="9"/>
      <c r="DD16" s="9"/>
      <c r="DE16" s="9"/>
      <c r="DF16" s="9"/>
      <c r="DI16" s="9"/>
      <c r="DJ16" s="484"/>
      <c r="DK16" s="485"/>
      <c r="DL16" s="9" t="str">
        <f t="shared" si="0"/>
        <v>-</v>
      </c>
      <c r="DM16" s="485"/>
      <c r="DN16" s="485"/>
      <c r="DO16" s="279" t="str">
        <f t="shared" si="14"/>
        <v/>
      </c>
      <c r="DP16" s="485"/>
      <c r="DQ16" s="278" t="str">
        <f t="shared" si="15"/>
        <v/>
      </c>
      <c r="DR16" s="9"/>
      <c r="DS16" s="9"/>
      <c r="DT16" s="9"/>
      <c r="DU16" s="9"/>
      <c r="DX16" s="9"/>
      <c r="DY16" s="625" t="s">
        <v>410</v>
      </c>
      <c r="DZ16" s="306" t="s">
        <v>325</v>
      </c>
      <c r="EA16" s="306"/>
      <c r="EB16" s="344">
        <f>DB19</f>
        <v>0</v>
      </c>
      <c r="EC16" s="9"/>
      <c r="ED16" s="9"/>
      <c r="EE16" s="9"/>
      <c r="EF16" s="9"/>
      <c r="EJ16" s="9"/>
      <c r="EK16" s="334" t="s">
        <v>352</v>
      </c>
      <c r="EL16" s="502">
        <f>EB25</f>
        <v>0</v>
      </c>
      <c r="EM16" s="9"/>
      <c r="EN16" s="9"/>
      <c r="EO16" s="9"/>
      <c r="EP16" s="9"/>
    </row>
    <row r="17" spans="39:146" ht="18.95" customHeight="1" thickBot="1" x14ac:dyDescent="0.3">
      <c r="AM17" s="259">
        <v>12</v>
      </c>
      <c r="AN17" s="310" t="str">
        <f t="shared" si="29"/>
        <v>-</v>
      </c>
      <c r="AO17" s="9" t="str">
        <f t="shared" si="16"/>
        <v>-</v>
      </c>
      <c r="AP17" s="289" t="str">
        <f t="shared" si="17"/>
        <v>-</v>
      </c>
      <c r="AQ17" s="9" t="str">
        <f t="shared" si="18"/>
        <v>-</v>
      </c>
      <c r="AR17" s="453"/>
      <c r="AS17" s="453"/>
      <c r="AT17" s="229" t="str">
        <f t="shared" si="19"/>
        <v>-</v>
      </c>
      <c r="AU17" s="290" t="str">
        <f t="shared" si="20"/>
        <v>N/A</v>
      </c>
      <c r="AV17" s="453"/>
      <c r="AW17" s="290" t="str">
        <f t="shared" si="7"/>
        <v>N/A</v>
      </c>
      <c r="AX17" s="453"/>
      <c r="AY17" s="290" t="str">
        <f t="shared" si="21"/>
        <v>N/A</v>
      </c>
      <c r="AZ17" s="453"/>
      <c r="BA17" s="291" t="str">
        <f t="shared" si="22"/>
        <v>N/A</v>
      </c>
      <c r="BB17" s="292" t="str">
        <f t="shared" si="23"/>
        <v>-</v>
      </c>
      <c r="BC17" s="512" t="str">
        <f t="shared" si="24"/>
        <v>-</v>
      </c>
      <c r="BD17" s="293" t="str">
        <f t="shared" si="25"/>
        <v>-</v>
      </c>
      <c r="BE17" s="293" t="str">
        <f t="shared" si="26"/>
        <v>-</v>
      </c>
      <c r="BF17" s="294" t="str">
        <f t="shared" si="27"/>
        <v>-</v>
      </c>
      <c r="BG17" s="9"/>
      <c r="BH17" s="9"/>
      <c r="BI17" s="9"/>
      <c r="BJ17" s="9"/>
      <c r="BN17" s="347" t="s">
        <v>293</v>
      </c>
      <c r="BZ17" s="9"/>
      <c r="CA17" s="476"/>
      <c r="CB17" s="515">
        <f>IFERROR(VLOOKUP(CA17,Feed!$B$4:$H$19,2,FALSE)*($BR$8/$BQ$8)+VLOOKUP(CA17,Feed!$B$4:$H$19,3,FALSE)*($BS$8/$BQ$8)+VLOOKUP(CA17,Feed!$B$4:$H$19,4,FALSE)*($BT$8/$BQ$8)+VLOOKUP(CA17,Feed!$B$4:$H$19,5,FALSE)*($BU$8/$BQ$8),0)</f>
        <v>0</v>
      </c>
      <c r="CC17" s="299" t="str">
        <f t="shared" ref="CC17:CC22" si="30">IFERROR(VLOOKUP($CA17,FeedIngLst,6,FALSE),"-")</f>
        <v>-</v>
      </c>
      <c r="CD17" s="299" t="str">
        <f t="shared" ref="CD17:CD22" si="31">IFERROR(VLOOKUP($CA17,FeedIngLst,7,FALSE),"-")</f>
        <v>-</v>
      </c>
      <c r="CE17" s="482"/>
      <c r="CF17" s="299" t="str">
        <f>IFERROR(CE17/$CE$24,"-")</f>
        <v>-</v>
      </c>
      <c r="CG17" s="300">
        <f t="shared" ref="CG17:CG24" si="32">CE17*$R$15*$BQ$8/2000</f>
        <v>0</v>
      </c>
      <c r="CH17" s="301" t="str">
        <f t="shared" ref="CH17:CH23" si="33">IFERROR($CB17/$CC17/(1-$CD17),"-")</f>
        <v>-</v>
      </c>
      <c r="CI17" s="9"/>
      <c r="CL17" s="9"/>
      <c r="CM17" s="254" t="s">
        <v>233</v>
      </c>
      <c r="CN17" s="255"/>
      <c r="CO17" s="375" t="str">
        <f>IFERROR(CO10/R15,"-")</f>
        <v>-</v>
      </c>
      <c r="CP17" s="9"/>
      <c r="CQ17" s="9"/>
      <c r="CR17" s="9"/>
      <c r="CS17" s="9"/>
      <c r="CV17" s="9"/>
      <c r="CW17" s="484"/>
      <c r="CX17" s="485"/>
      <c r="CY17" s="487"/>
      <c r="CZ17" s="487"/>
      <c r="DA17" s="485"/>
      <c r="DB17" s="278">
        <f t="shared" si="13"/>
        <v>0</v>
      </c>
      <c r="DC17" s="9"/>
      <c r="DD17" s="9"/>
      <c r="DE17" s="9"/>
      <c r="DF17" s="9"/>
      <c r="DI17" s="9"/>
      <c r="DJ17" s="484"/>
      <c r="DK17" s="485"/>
      <c r="DL17" s="9" t="str">
        <f t="shared" si="0"/>
        <v>-</v>
      </c>
      <c r="DM17" s="485"/>
      <c r="DN17" s="485"/>
      <c r="DO17" s="279" t="str">
        <f t="shared" si="14"/>
        <v/>
      </c>
      <c r="DP17" s="485"/>
      <c r="DQ17" s="278" t="str">
        <f t="shared" si="15"/>
        <v/>
      </c>
      <c r="DR17" s="9"/>
      <c r="DS17" s="9"/>
      <c r="DT17" s="9"/>
      <c r="DU17" s="9"/>
      <c r="DX17" s="9"/>
      <c r="DY17" s="625"/>
      <c r="DZ17" s="306" t="s">
        <v>235</v>
      </c>
      <c r="EA17" s="306"/>
      <c r="EB17" s="377" t="str">
        <f>IFERROR(DQ30/R15,"-")</f>
        <v>-</v>
      </c>
      <c r="EC17" s="9"/>
      <c r="ED17" s="9"/>
      <c r="EE17" s="9"/>
      <c r="EF17" s="9"/>
      <c r="EJ17" s="9"/>
      <c r="EK17" s="378" t="s">
        <v>261</v>
      </c>
      <c r="EL17" s="503">
        <f>IFERROR((EL11-EL13)/EL13,)</f>
        <v>0</v>
      </c>
      <c r="EM17" s="9"/>
      <c r="EN17" s="9"/>
      <c r="EO17" s="9"/>
      <c r="EP17" s="9"/>
    </row>
    <row r="18" spans="39:146" ht="18.95" customHeight="1" x14ac:dyDescent="0.25">
      <c r="AM18" s="259">
        <v>13</v>
      </c>
      <c r="AN18" s="310" t="str">
        <f t="shared" si="29"/>
        <v>-</v>
      </c>
      <c r="AO18" s="9" t="str">
        <f t="shared" si="16"/>
        <v>-</v>
      </c>
      <c r="AP18" s="289" t="str">
        <f t="shared" si="17"/>
        <v>-</v>
      </c>
      <c r="AQ18" s="9" t="str">
        <f t="shared" si="18"/>
        <v>-</v>
      </c>
      <c r="AR18" s="453"/>
      <c r="AS18" s="453"/>
      <c r="AT18" s="229" t="str">
        <f t="shared" si="19"/>
        <v>-</v>
      </c>
      <c r="AU18" s="290" t="str">
        <f t="shared" si="20"/>
        <v>N/A</v>
      </c>
      <c r="AV18" s="453"/>
      <c r="AW18" s="290" t="str">
        <f t="shared" si="7"/>
        <v>N/A</v>
      </c>
      <c r="AX18" s="453"/>
      <c r="AY18" s="290" t="str">
        <f t="shared" si="21"/>
        <v>N/A</v>
      </c>
      <c r="AZ18" s="453"/>
      <c r="BA18" s="291" t="str">
        <f t="shared" si="22"/>
        <v>N/A</v>
      </c>
      <c r="BB18" s="292" t="str">
        <f t="shared" si="23"/>
        <v>-</v>
      </c>
      <c r="BC18" s="512" t="str">
        <f t="shared" si="24"/>
        <v>-</v>
      </c>
      <c r="BD18" s="293" t="str">
        <f t="shared" si="25"/>
        <v>-</v>
      </c>
      <c r="BE18" s="293" t="str">
        <f t="shared" si="26"/>
        <v>-</v>
      </c>
      <c r="BF18" s="294" t="str">
        <f t="shared" si="27"/>
        <v>-</v>
      </c>
      <c r="BG18" s="9"/>
      <c r="BH18" s="9"/>
      <c r="BI18" s="9"/>
      <c r="BJ18" s="9"/>
      <c r="BZ18" s="9"/>
      <c r="CA18" s="476"/>
      <c r="CB18" s="515">
        <f>IFERROR(VLOOKUP(CA18,Feed!$B$4:$H$19,2,FALSE)*($BR$8/$BQ$8)+VLOOKUP(CA18,Feed!$B$4:$H$19,3,FALSE)*($BS$8/$BQ$8)+VLOOKUP(CA18,Feed!$B$4:$H$19,4,FALSE)*($BT$8/$BQ$8)+VLOOKUP(CA18,Feed!$B$4:$H$19,5,FALSE)*($BU$8/$BQ$8),0)</f>
        <v>0</v>
      </c>
      <c r="CC18" s="299" t="str">
        <f t="shared" si="30"/>
        <v>-</v>
      </c>
      <c r="CD18" s="299" t="str">
        <f t="shared" si="31"/>
        <v>-</v>
      </c>
      <c r="CE18" s="482"/>
      <c r="CF18" s="299" t="str">
        <f t="shared" ref="CF18:CF23" si="34">IFERROR(CE18/$CE$24,"-")</f>
        <v>-</v>
      </c>
      <c r="CG18" s="300">
        <f t="shared" si="32"/>
        <v>0</v>
      </c>
      <c r="CH18" s="301" t="str">
        <f t="shared" si="33"/>
        <v>-</v>
      </c>
      <c r="CI18" s="9"/>
      <c r="CL18" s="9"/>
      <c r="CM18" s="380" t="s">
        <v>59</v>
      </c>
      <c r="CN18" s="381"/>
      <c r="CO18" s="382" t="str">
        <f>IFERROR(CO16/R15,"-")</f>
        <v>-</v>
      </c>
      <c r="CP18" s="9"/>
      <c r="CQ18" s="9"/>
      <c r="CR18" s="9"/>
      <c r="CS18" s="9"/>
      <c r="CV18" s="9"/>
      <c r="CW18" s="486"/>
      <c r="CX18" s="473"/>
      <c r="CY18" s="488"/>
      <c r="CZ18" s="488"/>
      <c r="DA18" s="473"/>
      <c r="DB18" s="383">
        <f t="shared" si="13"/>
        <v>0</v>
      </c>
      <c r="DC18" s="9"/>
      <c r="DD18" s="9"/>
      <c r="DE18" s="9"/>
      <c r="DF18" s="9"/>
      <c r="DI18" s="9"/>
      <c r="DJ18" s="484"/>
      <c r="DK18" s="485"/>
      <c r="DL18" s="9" t="str">
        <f t="shared" si="0"/>
        <v>-</v>
      </c>
      <c r="DM18" s="485"/>
      <c r="DN18" s="485"/>
      <c r="DO18" s="279" t="str">
        <f t="shared" si="14"/>
        <v/>
      </c>
      <c r="DP18" s="485"/>
      <c r="DQ18" s="278" t="str">
        <f t="shared" si="15"/>
        <v/>
      </c>
      <c r="DR18" s="9"/>
      <c r="DS18" s="9"/>
      <c r="DT18" s="9"/>
      <c r="DU18" s="9"/>
      <c r="DX18" s="9"/>
      <c r="DY18" s="304" t="s">
        <v>239</v>
      </c>
      <c r="DZ18" s="306" t="s">
        <v>121</v>
      </c>
      <c r="EA18" s="306"/>
      <c r="EB18" s="344">
        <f>J9*MAX(AZ56,AS56,AV56,AX56)/100</f>
        <v>0</v>
      </c>
      <c r="EC18" s="9"/>
      <c r="ED18" s="9"/>
      <c r="EE18" s="9"/>
      <c r="EF18" s="9"/>
      <c r="EJ18" s="9"/>
      <c r="EK18" s="9"/>
      <c r="EL18" s="9"/>
      <c r="EM18" s="9"/>
      <c r="EN18" s="9"/>
      <c r="EO18" s="9"/>
      <c r="EP18" s="9"/>
    </row>
    <row r="19" spans="39:146" ht="18.95" customHeight="1" thickBot="1" x14ac:dyDescent="0.3">
      <c r="AM19" s="259">
        <v>14</v>
      </c>
      <c r="AN19" s="310" t="str">
        <f t="shared" si="29"/>
        <v>-</v>
      </c>
      <c r="AO19" s="9" t="str">
        <f t="shared" si="16"/>
        <v>-</v>
      </c>
      <c r="AP19" s="289" t="str">
        <f t="shared" si="17"/>
        <v>-</v>
      </c>
      <c r="AQ19" s="9" t="str">
        <f t="shared" si="18"/>
        <v>-</v>
      </c>
      <c r="AR19" s="453"/>
      <c r="AS19" s="453"/>
      <c r="AT19" s="229" t="str">
        <f t="shared" si="19"/>
        <v>-</v>
      </c>
      <c r="AU19" s="290" t="str">
        <f t="shared" si="20"/>
        <v>N/A</v>
      </c>
      <c r="AV19" s="453"/>
      <c r="AW19" s="290" t="str">
        <f t="shared" si="7"/>
        <v>N/A</v>
      </c>
      <c r="AX19" s="453"/>
      <c r="AY19" s="290" t="str">
        <f t="shared" si="21"/>
        <v>N/A</v>
      </c>
      <c r="AZ19" s="453"/>
      <c r="BA19" s="291" t="str">
        <f t="shared" si="22"/>
        <v>N/A</v>
      </c>
      <c r="BB19" s="292" t="str">
        <f t="shared" si="23"/>
        <v>-</v>
      </c>
      <c r="BC19" s="512" t="str">
        <f t="shared" si="24"/>
        <v>-</v>
      </c>
      <c r="BD19" s="293" t="str">
        <f t="shared" si="25"/>
        <v>-</v>
      </c>
      <c r="BE19" s="293" t="str">
        <f t="shared" si="26"/>
        <v>-</v>
      </c>
      <c r="BF19" s="294" t="str">
        <f t="shared" si="27"/>
        <v>-</v>
      </c>
      <c r="BG19" s="9"/>
      <c r="BH19" s="9"/>
      <c r="BI19" s="9"/>
      <c r="BJ19" s="9"/>
      <c r="BZ19" s="9"/>
      <c r="CA19" s="476"/>
      <c r="CB19" s="515">
        <f>IFERROR(VLOOKUP(CA19,Feed!$B$4:$H$19,2,FALSE)*($BR$8/$BQ$8)+VLOOKUP(CA19,Feed!$B$4:$H$19,3,FALSE)*($BS$8/$BQ$8)+VLOOKUP(CA19,Feed!$B$4:$H$19,4,FALSE)*($BT$8/$BQ$8)+VLOOKUP(CA19,Feed!$B$4:$H$19,5,FALSE)*($BU$8/$BQ$8),0)</f>
        <v>0</v>
      </c>
      <c r="CC19" s="299" t="str">
        <f t="shared" si="30"/>
        <v>-</v>
      </c>
      <c r="CD19" s="299" t="str">
        <f t="shared" si="31"/>
        <v>-</v>
      </c>
      <c r="CE19" s="482">
        <v>0</v>
      </c>
      <c r="CF19" s="299" t="str">
        <f t="shared" si="34"/>
        <v>-</v>
      </c>
      <c r="CG19" s="300">
        <f t="shared" si="32"/>
        <v>0</v>
      </c>
      <c r="CH19" s="301" t="str">
        <f t="shared" si="33"/>
        <v>-</v>
      </c>
      <c r="CI19" s="9"/>
      <c r="CL19" s="9"/>
      <c r="CM19" s="380" t="s">
        <v>38</v>
      </c>
      <c r="CN19" s="381"/>
      <c r="CO19" s="382" t="str">
        <f>IFERROR(CO18/CN10,"-")</f>
        <v>-</v>
      </c>
      <c r="CP19" s="9"/>
      <c r="CQ19" s="9"/>
      <c r="CR19" s="9"/>
      <c r="CS19" s="9"/>
      <c r="CV19" s="9"/>
      <c r="CW19" s="384"/>
      <c r="CX19" s="385"/>
      <c r="CY19" s="386" t="s">
        <v>315</v>
      </c>
      <c r="CZ19" s="386"/>
      <c r="DA19" s="370"/>
      <c r="DB19" s="387">
        <f>SUMIF(CZ5:CZ18,DD6,DB5:DB18)</f>
        <v>0</v>
      </c>
      <c r="DC19" s="9"/>
      <c r="DD19" s="9"/>
      <c r="DE19" s="9"/>
      <c r="DF19" s="9"/>
      <c r="DI19" s="9"/>
      <c r="DJ19" s="484"/>
      <c r="DK19" s="485"/>
      <c r="DL19" s="9" t="str">
        <f t="shared" si="0"/>
        <v>-</v>
      </c>
      <c r="DM19" s="485"/>
      <c r="DN19" s="485"/>
      <c r="DO19" s="279" t="str">
        <f t="shared" si="14"/>
        <v/>
      </c>
      <c r="DP19" s="485"/>
      <c r="DQ19" s="278" t="str">
        <f t="shared" si="15"/>
        <v/>
      </c>
      <c r="DR19" s="9"/>
      <c r="DS19" s="9"/>
      <c r="DT19" s="9"/>
      <c r="DU19" s="9"/>
      <c r="DX19" s="9"/>
      <c r="DY19" s="304" t="s">
        <v>237</v>
      </c>
      <c r="DZ19" s="306"/>
      <c r="EA19" s="306"/>
      <c r="EB19" s="344" t="str">
        <f>IFERROR(J7/R15,"-")</f>
        <v>-</v>
      </c>
      <c r="EC19" s="9"/>
      <c r="ED19" s="9"/>
      <c r="EE19" s="9"/>
      <c r="EF19" s="9"/>
    </row>
    <row r="20" spans="39:146" ht="18.95" customHeight="1" x14ac:dyDescent="0.25">
      <c r="AM20" s="259">
        <v>15</v>
      </c>
      <c r="AN20" s="310" t="str">
        <f t="shared" si="29"/>
        <v>-</v>
      </c>
      <c r="AO20" s="9" t="str">
        <f t="shared" si="16"/>
        <v>-</v>
      </c>
      <c r="AP20" s="289" t="str">
        <f t="shared" si="17"/>
        <v>-</v>
      </c>
      <c r="AQ20" s="9" t="str">
        <f t="shared" si="18"/>
        <v>-</v>
      </c>
      <c r="AR20" s="453"/>
      <c r="AS20" s="453"/>
      <c r="AT20" s="229" t="str">
        <f t="shared" si="19"/>
        <v>-</v>
      </c>
      <c r="AU20" s="290" t="str">
        <f t="shared" si="20"/>
        <v>N/A</v>
      </c>
      <c r="AV20" s="453"/>
      <c r="AW20" s="290" t="str">
        <f t="shared" si="7"/>
        <v>N/A</v>
      </c>
      <c r="AX20" s="453"/>
      <c r="AY20" s="290" t="str">
        <f t="shared" si="21"/>
        <v>N/A</v>
      </c>
      <c r="AZ20" s="453"/>
      <c r="BA20" s="291" t="str">
        <f t="shared" si="22"/>
        <v>N/A</v>
      </c>
      <c r="BB20" s="292" t="str">
        <f t="shared" si="23"/>
        <v>-</v>
      </c>
      <c r="BC20" s="512" t="str">
        <f t="shared" si="24"/>
        <v>-</v>
      </c>
      <c r="BD20" s="293" t="str">
        <f t="shared" si="25"/>
        <v>-</v>
      </c>
      <c r="BE20" s="293" t="str">
        <f t="shared" si="26"/>
        <v>-</v>
      </c>
      <c r="BF20" s="294" t="str">
        <f t="shared" si="27"/>
        <v>-</v>
      </c>
      <c r="BG20" s="9"/>
      <c r="BH20" s="9"/>
      <c r="BI20" s="9"/>
      <c r="BJ20" s="9"/>
      <c r="BZ20" s="9"/>
      <c r="CA20" s="476"/>
      <c r="CB20" s="515">
        <f>IFERROR(VLOOKUP(CA20,Feed!$B$4:$H$19,2,FALSE)*($BR$8/$BQ$8)+VLOOKUP(CA20,Feed!$B$4:$H$19,3,FALSE)*($BS$8/$BQ$8)+VLOOKUP(CA20,Feed!$B$4:$H$19,4,FALSE)*($BT$8/$BQ$8)+VLOOKUP(CA20,Feed!$B$4:$H$19,5,FALSE)*($BU$8/$BQ$8),0)</f>
        <v>0</v>
      </c>
      <c r="CC20" s="299" t="str">
        <f t="shared" si="30"/>
        <v>-</v>
      </c>
      <c r="CD20" s="299" t="str">
        <f t="shared" si="31"/>
        <v>-</v>
      </c>
      <c r="CE20" s="482"/>
      <c r="CF20" s="299" t="str">
        <f t="shared" si="34"/>
        <v>-</v>
      </c>
      <c r="CG20" s="300">
        <f t="shared" si="32"/>
        <v>0</v>
      </c>
      <c r="CH20" s="301" t="str">
        <f t="shared" si="33"/>
        <v>-</v>
      </c>
      <c r="CI20" s="9"/>
      <c r="CL20" s="9"/>
      <c r="CM20" s="380" t="s">
        <v>37</v>
      </c>
      <c r="CN20" s="381"/>
      <c r="CO20" s="382">
        <f>IFERROR(CO18/(MAX(AZ56,AX56,AV56,AS56)-AR56),)</f>
        <v>0</v>
      </c>
      <c r="CP20" s="9"/>
      <c r="CQ20" s="9"/>
      <c r="CR20" s="9"/>
      <c r="CS20" s="9"/>
      <c r="CV20" s="9"/>
      <c r="CW20" s="9"/>
      <c r="CX20" s="9"/>
      <c r="CY20" s="9"/>
      <c r="CZ20" s="9"/>
      <c r="DA20" s="9"/>
      <c r="DB20" s="9"/>
      <c r="DC20" s="9"/>
      <c r="DD20" s="9"/>
      <c r="DE20" s="9"/>
      <c r="DF20" s="9"/>
      <c r="DI20" s="9"/>
      <c r="DJ20" s="484"/>
      <c r="DK20" s="485"/>
      <c r="DL20" s="9" t="str">
        <f t="shared" si="0"/>
        <v>-</v>
      </c>
      <c r="DM20" s="485"/>
      <c r="DN20" s="485"/>
      <c r="DO20" s="279" t="str">
        <f t="shared" si="14"/>
        <v/>
      </c>
      <c r="DP20" s="485"/>
      <c r="DQ20" s="278" t="str">
        <f t="shared" si="15"/>
        <v/>
      </c>
      <c r="DR20" s="9"/>
      <c r="DS20" s="9"/>
      <c r="DT20" s="9"/>
      <c r="DU20" s="9"/>
      <c r="DX20" s="9"/>
      <c r="DY20" s="304" t="s">
        <v>341</v>
      </c>
      <c r="DZ20" s="306" t="s">
        <v>343</v>
      </c>
      <c r="EA20" s="306"/>
      <c r="EB20" s="344">
        <f>J11*EB10</f>
        <v>0</v>
      </c>
      <c r="EC20" s="9"/>
      <c r="ED20" s="9"/>
      <c r="EE20" s="9"/>
      <c r="EF20" s="9"/>
    </row>
    <row r="21" spans="39:146" ht="18.95" customHeight="1" x14ac:dyDescent="0.25">
      <c r="AM21" s="259">
        <v>16</v>
      </c>
      <c r="AN21" s="310" t="str">
        <f t="shared" si="29"/>
        <v>-</v>
      </c>
      <c r="AO21" s="9" t="str">
        <f t="shared" si="16"/>
        <v>-</v>
      </c>
      <c r="AP21" s="289" t="str">
        <f t="shared" si="17"/>
        <v>-</v>
      </c>
      <c r="AQ21" s="9" t="str">
        <f t="shared" si="18"/>
        <v>-</v>
      </c>
      <c r="AR21" s="453"/>
      <c r="AS21" s="453"/>
      <c r="AT21" s="229" t="str">
        <f t="shared" si="19"/>
        <v>-</v>
      </c>
      <c r="AU21" s="290" t="str">
        <f t="shared" si="20"/>
        <v>N/A</v>
      </c>
      <c r="AV21" s="453"/>
      <c r="AW21" s="290" t="str">
        <f t="shared" si="7"/>
        <v>N/A</v>
      </c>
      <c r="AX21" s="453"/>
      <c r="AY21" s="290" t="str">
        <f t="shared" si="21"/>
        <v>N/A</v>
      </c>
      <c r="AZ21" s="453"/>
      <c r="BA21" s="291" t="str">
        <f t="shared" si="22"/>
        <v>N/A</v>
      </c>
      <c r="BB21" s="292" t="str">
        <f t="shared" si="23"/>
        <v>-</v>
      </c>
      <c r="BC21" s="512" t="str">
        <f t="shared" si="24"/>
        <v>-</v>
      </c>
      <c r="BD21" s="293" t="str">
        <f t="shared" si="25"/>
        <v>-</v>
      </c>
      <c r="BE21" s="293" t="str">
        <f t="shared" si="26"/>
        <v>-</v>
      </c>
      <c r="BF21" s="294" t="str">
        <f t="shared" si="27"/>
        <v>-</v>
      </c>
      <c r="BG21" s="9"/>
      <c r="BH21" s="9"/>
      <c r="BI21" s="9"/>
      <c r="BJ21" s="9"/>
      <c r="BZ21" s="9"/>
      <c r="CA21" s="476"/>
      <c r="CB21" s="515">
        <f>IFERROR(VLOOKUP(CA21,Feed!$B$4:$H$19,2,FALSE)*($BR$8/$BQ$8)+VLOOKUP(CA21,Feed!$B$4:$H$19,3,FALSE)*($BS$8/$BQ$8)+VLOOKUP(CA21,Feed!$B$4:$H$19,4,FALSE)*($BT$8/$BQ$8)+VLOOKUP(CA21,Feed!$B$4:$H$19,5,FALSE)*($BU$8/$BQ$8),0)</f>
        <v>0</v>
      </c>
      <c r="CC21" s="299" t="str">
        <f t="shared" si="30"/>
        <v>-</v>
      </c>
      <c r="CD21" s="299" t="str">
        <f t="shared" si="31"/>
        <v>-</v>
      </c>
      <c r="CE21" s="482"/>
      <c r="CF21" s="299" t="str">
        <f t="shared" si="34"/>
        <v>-</v>
      </c>
      <c r="CG21" s="300">
        <f t="shared" si="32"/>
        <v>0</v>
      </c>
      <c r="CH21" s="301" t="str">
        <f t="shared" si="33"/>
        <v>-</v>
      </c>
      <c r="CI21" s="9"/>
      <c r="CL21" s="9"/>
      <c r="CM21" s="380" t="s">
        <v>225</v>
      </c>
      <c r="CN21" s="381"/>
      <c r="CO21" s="388">
        <f>CO10-CG12-CG23-CG34-CG45-CG56</f>
        <v>0</v>
      </c>
      <c r="CP21" s="9"/>
      <c r="CQ21" s="9"/>
      <c r="CR21" s="9"/>
      <c r="CS21" s="9"/>
      <c r="DI21" s="9"/>
      <c r="DJ21" s="484"/>
      <c r="DK21" s="485"/>
      <c r="DL21" s="9" t="str">
        <f t="shared" si="0"/>
        <v>-</v>
      </c>
      <c r="DM21" s="485"/>
      <c r="DN21" s="485"/>
      <c r="DO21" s="279" t="str">
        <f t="shared" si="14"/>
        <v/>
      </c>
      <c r="DP21" s="485"/>
      <c r="DQ21" s="278" t="str">
        <f t="shared" si="15"/>
        <v/>
      </c>
      <c r="DR21" s="9"/>
      <c r="DS21" s="9"/>
      <c r="DT21" s="9"/>
      <c r="DU21" s="9"/>
      <c r="DX21" s="9"/>
      <c r="DY21" s="304" t="s">
        <v>192</v>
      </c>
      <c r="DZ21" s="389"/>
      <c r="EA21" s="9"/>
      <c r="EB21" s="344">
        <f>'Yardage Calculator'!F43*BQ12</f>
        <v>0</v>
      </c>
      <c r="EC21" s="9"/>
      <c r="ED21" s="9"/>
      <c r="EE21" s="9"/>
      <c r="EF21" s="9"/>
    </row>
    <row r="22" spans="39:146" ht="18.95" customHeight="1" x14ac:dyDescent="0.25">
      <c r="AM22" s="259">
        <v>17</v>
      </c>
      <c r="AN22" s="310" t="str">
        <f t="shared" si="29"/>
        <v>-</v>
      </c>
      <c r="AO22" s="9" t="str">
        <f t="shared" si="16"/>
        <v>-</v>
      </c>
      <c r="AP22" s="289" t="str">
        <f t="shared" si="17"/>
        <v>-</v>
      </c>
      <c r="AQ22" s="9" t="str">
        <f t="shared" si="18"/>
        <v>-</v>
      </c>
      <c r="AR22" s="453"/>
      <c r="AS22" s="453"/>
      <c r="AT22" s="229" t="str">
        <f t="shared" si="19"/>
        <v>-</v>
      </c>
      <c r="AU22" s="290" t="str">
        <f t="shared" si="20"/>
        <v>N/A</v>
      </c>
      <c r="AV22" s="453"/>
      <c r="AW22" s="290" t="str">
        <f t="shared" si="7"/>
        <v>N/A</v>
      </c>
      <c r="AX22" s="453"/>
      <c r="AY22" s="290" t="str">
        <f t="shared" si="21"/>
        <v>N/A</v>
      </c>
      <c r="AZ22" s="453"/>
      <c r="BA22" s="291" t="str">
        <f t="shared" si="22"/>
        <v>N/A</v>
      </c>
      <c r="BB22" s="292" t="str">
        <f t="shared" si="23"/>
        <v>-</v>
      </c>
      <c r="BC22" s="512" t="str">
        <f t="shared" si="24"/>
        <v>-</v>
      </c>
      <c r="BD22" s="293" t="str">
        <f t="shared" si="25"/>
        <v>-</v>
      </c>
      <c r="BE22" s="293" t="str">
        <f t="shared" si="26"/>
        <v>-</v>
      </c>
      <c r="BF22" s="294" t="str">
        <f t="shared" si="27"/>
        <v>-</v>
      </c>
      <c r="BG22" s="9"/>
      <c r="BH22" s="9"/>
      <c r="BI22" s="9"/>
      <c r="BJ22" s="9"/>
      <c r="BZ22" s="9"/>
      <c r="CA22" s="476"/>
      <c r="CB22" s="515">
        <f>IFERROR(VLOOKUP(CA22,Feed!$B$4:$H$19,2,FALSE)*($BR$8/$BQ$8)+VLOOKUP(CA22,Feed!$B$4:$H$19,3,FALSE)*($BS$8/$BQ$8)+VLOOKUP(CA22,Feed!$B$4:$H$19,4,FALSE)*($BT$8/$BQ$8)+VLOOKUP(CA22,Feed!$B$4:$H$19,5,FALSE)*($BU$8/$BQ$8),0)</f>
        <v>0</v>
      </c>
      <c r="CC22" s="299" t="str">
        <f t="shared" si="30"/>
        <v>-</v>
      </c>
      <c r="CD22" s="299" t="str">
        <f t="shared" si="31"/>
        <v>-</v>
      </c>
      <c r="CE22" s="482"/>
      <c r="CF22" s="299" t="str">
        <f t="shared" si="34"/>
        <v>-</v>
      </c>
      <c r="CG22" s="300">
        <f t="shared" si="32"/>
        <v>0</v>
      </c>
      <c r="CH22" s="301" t="str">
        <f t="shared" si="33"/>
        <v>-</v>
      </c>
      <c r="CI22" s="9"/>
      <c r="CL22" s="9"/>
      <c r="CM22" s="254" t="s">
        <v>222</v>
      </c>
      <c r="CN22" s="255"/>
      <c r="CO22" s="276">
        <f>(CO10-CO21)*CB61</f>
        <v>0</v>
      </c>
      <c r="CP22" s="9"/>
      <c r="CQ22" s="9"/>
      <c r="CR22" s="9"/>
      <c r="CS22" s="9"/>
      <c r="DI22" s="9"/>
      <c r="DJ22" s="484"/>
      <c r="DK22" s="485"/>
      <c r="DL22" s="9" t="str">
        <f t="shared" si="0"/>
        <v>-</v>
      </c>
      <c r="DM22" s="485"/>
      <c r="DN22" s="485"/>
      <c r="DO22" s="279" t="str">
        <f t="shared" si="14"/>
        <v/>
      </c>
      <c r="DP22" s="485"/>
      <c r="DQ22" s="278" t="str">
        <f t="shared" si="15"/>
        <v/>
      </c>
      <c r="DR22" s="9"/>
      <c r="DS22" s="9"/>
      <c r="DT22" s="9"/>
      <c r="DU22" s="9"/>
      <c r="DX22" s="9"/>
      <c r="DY22" s="304" t="s">
        <v>241</v>
      </c>
      <c r="DZ22" s="306" t="s">
        <v>243</v>
      </c>
      <c r="EA22" s="306"/>
      <c r="EB22" s="344">
        <f>J10</f>
        <v>0</v>
      </c>
      <c r="EC22" s="9"/>
      <c r="ED22" s="9"/>
      <c r="EE22" s="9"/>
      <c r="EF22" s="9"/>
    </row>
    <row r="23" spans="39:146" ht="18.95" customHeight="1" x14ac:dyDescent="0.25">
      <c r="AM23" s="259">
        <v>18</v>
      </c>
      <c r="AN23" s="310" t="str">
        <f t="shared" si="29"/>
        <v>-</v>
      </c>
      <c r="AO23" s="9" t="str">
        <f t="shared" si="16"/>
        <v>-</v>
      </c>
      <c r="AP23" s="289" t="str">
        <f t="shared" si="17"/>
        <v>-</v>
      </c>
      <c r="AQ23" s="9" t="str">
        <f t="shared" si="18"/>
        <v>-</v>
      </c>
      <c r="AR23" s="453"/>
      <c r="AS23" s="453"/>
      <c r="AT23" s="229" t="str">
        <f t="shared" si="19"/>
        <v>-</v>
      </c>
      <c r="AU23" s="290" t="str">
        <f t="shared" si="20"/>
        <v>N/A</v>
      </c>
      <c r="AV23" s="453"/>
      <c r="AW23" s="290" t="str">
        <f t="shared" si="7"/>
        <v>N/A</v>
      </c>
      <c r="AX23" s="453"/>
      <c r="AY23" s="290" t="str">
        <f t="shared" si="21"/>
        <v>N/A</v>
      </c>
      <c r="AZ23" s="453"/>
      <c r="BA23" s="291" t="str">
        <f t="shared" si="22"/>
        <v>N/A</v>
      </c>
      <c r="BB23" s="292" t="str">
        <f t="shared" si="23"/>
        <v>-</v>
      </c>
      <c r="BC23" s="512" t="str">
        <f t="shared" si="24"/>
        <v>-</v>
      </c>
      <c r="BD23" s="293" t="str">
        <f t="shared" si="25"/>
        <v>-</v>
      </c>
      <c r="BE23" s="293" t="str">
        <f t="shared" si="26"/>
        <v>-</v>
      </c>
      <c r="BF23" s="294" t="str">
        <f t="shared" si="27"/>
        <v>-</v>
      </c>
      <c r="BG23" s="9"/>
      <c r="BH23" s="9"/>
      <c r="BI23" s="9"/>
      <c r="BJ23" s="9"/>
      <c r="BZ23" s="9"/>
      <c r="CA23" s="338" t="s">
        <v>330</v>
      </c>
      <c r="CB23" s="516">
        <f>'AUM Evaluator'!$S$9*$CB$61</f>
        <v>78.359787947924048</v>
      </c>
      <c r="CC23" s="299">
        <v>1</v>
      </c>
      <c r="CD23" s="340">
        <v>0</v>
      </c>
      <c r="CE23" s="483"/>
      <c r="CF23" s="341" t="str">
        <f t="shared" si="34"/>
        <v>-</v>
      </c>
      <c r="CG23" s="342">
        <f t="shared" si="32"/>
        <v>0</v>
      </c>
      <c r="CH23" s="343">
        <f t="shared" si="33"/>
        <v>78.359787947924048</v>
      </c>
      <c r="CI23" s="9"/>
      <c r="CJ23" s="390"/>
      <c r="CK23" s="390"/>
      <c r="CL23" s="391"/>
      <c r="CM23" s="392" t="s">
        <v>230</v>
      </c>
      <c r="CN23" s="393"/>
      <c r="CO23" s="394">
        <f>IFERROR(CO22/R15*'AUM Evaluator'!S9,)</f>
        <v>0</v>
      </c>
      <c r="CP23" s="391"/>
      <c r="CQ23" s="391"/>
      <c r="CR23" s="391"/>
      <c r="CS23" s="391"/>
      <c r="CT23" s="390"/>
      <c r="CU23" s="390"/>
      <c r="DG23" s="390"/>
      <c r="DH23" s="390"/>
      <c r="DI23" s="9"/>
      <c r="DJ23" s="484"/>
      <c r="DK23" s="485"/>
      <c r="DL23" s="9" t="str">
        <f t="shared" si="0"/>
        <v>-</v>
      </c>
      <c r="DM23" s="485"/>
      <c r="DN23" s="485"/>
      <c r="DO23" s="279" t="str">
        <f t="shared" si="14"/>
        <v/>
      </c>
      <c r="DP23" s="485"/>
      <c r="DQ23" s="278" t="str">
        <f t="shared" si="15"/>
        <v/>
      </c>
      <c r="DR23" s="9"/>
      <c r="DS23" s="9"/>
      <c r="DT23" s="9"/>
      <c r="DU23" s="9"/>
      <c r="DV23" s="390"/>
      <c r="DW23" s="390"/>
      <c r="DX23" s="9"/>
      <c r="DY23" s="395" t="s">
        <v>240</v>
      </c>
      <c r="DZ23" s="306"/>
      <c r="EA23" s="306"/>
      <c r="EB23" s="344">
        <f>IFERROR(SUM(EB12,EB13,EB14:EB22)*J8*(BQ12/365),)</f>
        <v>0</v>
      </c>
      <c r="EC23" s="9"/>
      <c r="ED23" s="9"/>
      <c r="EE23" s="9"/>
      <c r="EF23" s="9"/>
    </row>
    <row r="24" spans="39:146" ht="18.95" customHeight="1" x14ac:dyDescent="0.25">
      <c r="AM24" s="259">
        <v>19</v>
      </c>
      <c r="AN24" s="310" t="str">
        <f t="shared" si="29"/>
        <v>-</v>
      </c>
      <c r="AO24" s="9" t="str">
        <f t="shared" si="16"/>
        <v>-</v>
      </c>
      <c r="AP24" s="289" t="str">
        <f t="shared" si="17"/>
        <v>-</v>
      </c>
      <c r="AQ24" s="9" t="str">
        <f t="shared" si="18"/>
        <v>-</v>
      </c>
      <c r="AR24" s="453"/>
      <c r="AS24" s="453"/>
      <c r="AT24" s="229" t="str">
        <f t="shared" si="19"/>
        <v>-</v>
      </c>
      <c r="AU24" s="290" t="str">
        <f t="shared" si="20"/>
        <v>N/A</v>
      </c>
      <c r="AV24" s="453"/>
      <c r="AW24" s="290" t="str">
        <f t="shared" si="7"/>
        <v>N/A</v>
      </c>
      <c r="AX24" s="453"/>
      <c r="AY24" s="290" t="str">
        <f t="shared" si="21"/>
        <v>N/A</v>
      </c>
      <c r="AZ24" s="453"/>
      <c r="BA24" s="291" t="str">
        <f t="shared" si="22"/>
        <v>N/A</v>
      </c>
      <c r="BB24" s="292" t="str">
        <f t="shared" si="23"/>
        <v>-</v>
      </c>
      <c r="BC24" s="512" t="str">
        <f t="shared" si="24"/>
        <v>-</v>
      </c>
      <c r="BD24" s="293" t="str">
        <f t="shared" si="25"/>
        <v>-</v>
      </c>
      <c r="BE24" s="293" t="str">
        <f t="shared" si="26"/>
        <v>-</v>
      </c>
      <c r="BF24" s="294" t="str">
        <f t="shared" si="27"/>
        <v>-</v>
      </c>
      <c r="BG24" s="9"/>
      <c r="BH24" s="9"/>
      <c r="BI24" s="9"/>
      <c r="BJ24" s="9"/>
      <c r="BZ24" s="9"/>
      <c r="CA24" s="348"/>
      <c r="CB24" s="349"/>
      <c r="CC24" s="350" t="s">
        <v>58</v>
      </c>
      <c r="CD24" s="351"/>
      <c r="CE24" s="352">
        <f>SUM(CE17:CE23)</f>
        <v>0</v>
      </c>
      <c r="CF24" s="353">
        <f>SUM(CF17:CF23)</f>
        <v>0</v>
      </c>
      <c r="CG24" s="352">
        <f t="shared" si="32"/>
        <v>0</v>
      </c>
      <c r="CH24" s="354"/>
      <c r="CI24" s="9"/>
      <c r="CL24" s="9"/>
      <c r="CM24" s="9"/>
      <c r="CN24" s="9"/>
      <c r="CO24" s="9"/>
      <c r="CP24" s="9"/>
      <c r="CQ24" s="9"/>
      <c r="CR24" s="9"/>
      <c r="CS24" s="9"/>
      <c r="DI24" s="9"/>
      <c r="DJ24" s="484"/>
      <c r="DK24" s="485"/>
      <c r="DL24" s="9" t="str">
        <f t="shared" si="0"/>
        <v>-</v>
      </c>
      <c r="DM24" s="485"/>
      <c r="DN24" s="485"/>
      <c r="DO24" s="279" t="str">
        <f t="shared" si="14"/>
        <v/>
      </c>
      <c r="DP24" s="485"/>
      <c r="DQ24" s="278" t="str">
        <f t="shared" si="15"/>
        <v/>
      </c>
      <c r="DR24" s="9"/>
      <c r="DS24" s="9"/>
      <c r="DT24" s="9"/>
      <c r="DU24" s="9"/>
      <c r="DX24" s="9"/>
      <c r="DY24" s="396"/>
      <c r="DZ24" s="626" t="s">
        <v>128</v>
      </c>
      <c r="EA24" s="626"/>
      <c r="EB24" s="397">
        <f>SUM(EB12:EB23)</f>
        <v>0</v>
      </c>
      <c r="EC24" s="9"/>
      <c r="ED24" s="9"/>
      <c r="EE24" s="9"/>
      <c r="EF24" s="9"/>
    </row>
    <row r="25" spans="39:146" ht="18.95" customHeight="1" thickBot="1" x14ac:dyDescent="0.3">
      <c r="AM25" s="259">
        <v>20</v>
      </c>
      <c r="AN25" s="310" t="str">
        <f t="shared" si="29"/>
        <v>-</v>
      </c>
      <c r="AO25" s="9" t="str">
        <f t="shared" si="16"/>
        <v>-</v>
      </c>
      <c r="AP25" s="289" t="str">
        <f t="shared" si="17"/>
        <v>-</v>
      </c>
      <c r="AQ25" s="9" t="str">
        <f t="shared" si="18"/>
        <v>-</v>
      </c>
      <c r="AR25" s="453"/>
      <c r="AS25" s="453"/>
      <c r="AT25" s="229" t="str">
        <f t="shared" si="19"/>
        <v>-</v>
      </c>
      <c r="AU25" s="290" t="str">
        <f t="shared" si="20"/>
        <v>N/A</v>
      </c>
      <c r="AV25" s="453"/>
      <c r="AW25" s="293" t="str">
        <f t="shared" si="7"/>
        <v>N/A</v>
      </c>
      <c r="AX25" s="453"/>
      <c r="AY25" s="290" t="str">
        <f t="shared" si="21"/>
        <v>N/A</v>
      </c>
      <c r="AZ25" s="453"/>
      <c r="BA25" s="291" t="str">
        <f t="shared" si="22"/>
        <v>N/A</v>
      </c>
      <c r="BB25" s="292" t="str">
        <f t="shared" si="23"/>
        <v>-</v>
      </c>
      <c r="BC25" s="512" t="str">
        <f t="shared" si="24"/>
        <v>-</v>
      </c>
      <c r="BD25" s="293" t="str">
        <f t="shared" si="25"/>
        <v>-</v>
      </c>
      <c r="BE25" s="293" t="str">
        <f t="shared" si="26"/>
        <v>-</v>
      </c>
      <c r="BF25" s="294" t="str">
        <f t="shared" si="27"/>
        <v>-</v>
      </c>
      <c r="BG25" s="9"/>
      <c r="BH25" s="9"/>
      <c r="BI25" s="9"/>
      <c r="BJ25" s="9"/>
      <c r="BZ25" s="9"/>
      <c r="CA25" s="363"/>
      <c r="CB25" s="364"/>
      <c r="CC25" s="365"/>
      <c r="CD25" s="366" t="s">
        <v>208</v>
      </c>
      <c r="CE25" s="366"/>
      <c r="CF25" s="367"/>
      <c r="CG25" s="367"/>
      <c r="CH25" s="368">
        <f>SUMPRODUCT(CF17:CF23,CH17:CH23,CC17:CC23)</f>
        <v>0</v>
      </c>
      <c r="CI25" s="9"/>
      <c r="CL25" s="9"/>
      <c r="CM25" s="9"/>
      <c r="CN25" s="9"/>
      <c r="CO25" s="9"/>
      <c r="CP25" s="9"/>
      <c r="CQ25" s="9"/>
      <c r="CR25" s="9"/>
      <c r="CS25" s="9"/>
      <c r="DI25" s="9"/>
      <c r="DJ25" s="484"/>
      <c r="DK25" s="485"/>
      <c r="DL25" s="9" t="str">
        <f t="shared" si="0"/>
        <v>-</v>
      </c>
      <c r="DM25" s="485"/>
      <c r="DN25" s="485"/>
      <c r="DO25" s="279" t="str">
        <f t="shared" si="14"/>
        <v/>
      </c>
      <c r="DP25" s="485"/>
      <c r="DQ25" s="278" t="str">
        <f t="shared" si="15"/>
        <v/>
      </c>
      <c r="DR25" s="9"/>
      <c r="DS25" s="9"/>
      <c r="DT25" s="9"/>
      <c r="DU25" s="9"/>
      <c r="DX25" s="9"/>
      <c r="DY25" s="384"/>
      <c r="DZ25" s="627" t="s">
        <v>372</v>
      </c>
      <c r="EA25" s="627" t="s">
        <v>137</v>
      </c>
      <c r="EB25" s="398">
        <f>EB10-EB24</f>
        <v>0</v>
      </c>
      <c r="EC25" s="9"/>
      <c r="ED25" s="9"/>
      <c r="EE25" s="9"/>
      <c r="EF25" s="9"/>
    </row>
    <row r="26" spans="39:146" ht="18.95" customHeight="1" thickBot="1" x14ac:dyDescent="0.3">
      <c r="AM26" s="259">
        <v>21</v>
      </c>
      <c r="AN26" s="310" t="str">
        <f t="shared" si="29"/>
        <v>-</v>
      </c>
      <c r="AO26" s="9" t="str">
        <f t="shared" si="16"/>
        <v>-</v>
      </c>
      <c r="AP26" s="289" t="str">
        <f t="shared" si="17"/>
        <v>-</v>
      </c>
      <c r="AQ26" s="9" t="str">
        <f t="shared" si="18"/>
        <v>-</v>
      </c>
      <c r="AR26" s="453"/>
      <c r="AS26" s="453"/>
      <c r="AT26" s="229" t="str">
        <f t="shared" si="19"/>
        <v>-</v>
      </c>
      <c r="AU26" s="290" t="str">
        <f t="shared" si="20"/>
        <v>N/A</v>
      </c>
      <c r="AV26" s="453"/>
      <c r="AW26" s="290" t="str">
        <f t="shared" si="7"/>
        <v>N/A</v>
      </c>
      <c r="AX26" s="453"/>
      <c r="AY26" s="290" t="str">
        <f t="shared" si="21"/>
        <v>N/A</v>
      </c>
      <c r="AZ26" s="453"/>
      <c r="BA26" s="291" t="str">
        <f t="shared" si="22"/>
        <v>N/A</v>
      </c>
      <c r="BB26" s="292" t="str">
        <f t="shared" si="23"/>
        <v>-</v>
      </c>
      <c r="BC26" s="512" t="str">
        <f t="shared" si="24"/>
        <v>-</v>
      </c>
      <c r="BD26" s="293" t="str">
        <f t="shared" si="25"/>
        <v>-</v>
      </c>
      <c r="BE26" s="293" t="str">
        <f t="shared" si="26"/>
        <v>-</v>
      </c>
      <c r="BF26" s="294" t="str">
        <f t="shared" si="27"/>
        <v>-</v>
      </c>
      <c r="BG26" s="9"/>
      <c r="BH26" s="9"/>
      <c r="BI26" s="9"/>
      <c r="BJ26" s="9"/>
      <c r="BZ26" s="9"/>
      <c r="CA26" s="9"/>
      <c r="CB26" s="9"/>
      <c r="CC26" s="9"/>
      <c r="CD26" s="9"/>
      <c r="CE26" s="9"/>
      <c r="CF26" s="9"/>
      <c r="CG26" s="9"/>
      <c r="CH26" s="9"/>
      <c r="CI26" s="9"/>
      <c r="CM26" s="390"/>
      <c r="CN26" s="390"/>
      <c r="CO26" s="390"/>
      <c r="DI26" s="9"/>
      <c r="DJ26" s="484"/>
      <c r="DK26" s="485"/>
      <c r="DL26" s="9" t="str">
        <f t="shared" si="0"/>
        <v>-</v>
      </c>
      <c r="DM26" s="485"/>
      <c r="DN26" s="485"/>
      <c r="DO26" s="279" t="str">
        <f t="shared" si="14"/>
        <v/>
      </c>
      <c r="DP26" s="485"/>
      <c r="DQ26" s="278" t="str">
        <f t="shared" si="15"/>
        <v/>
      </c>
      <c r="DR26" s="9"/>
      <c r="DS26" s="9"/>
      <c r="DT26" s="9"/>
      <c r="DU26" s="9"/>
      <c r="DX26" s="9"/>
      <c r="DY26" s="166"/>
      <c r="DZ26" s="166"/>
      <c r="EA26" s="166"/>
      <c r="EB26" s="166"/>
      <c r="EC26" s="9"/>
      <c r="ED26" s="9"/>
      <c r="EE26" s="9"/>
      <c r="EF26" s="9"/>
    </row>
    <row r="27" spans="39:146" ht="31.5" x14ac:dyDescent="0.25">
      <c r="AM27" s="259">
        <v>22</v>
      </c>
      <c r="AN27" s="310" t="str">
        <f t="shared" si="29"/>
        <v>-</v>
      </c>
      <c r="AO27" s="9" t="str">
        <f t="shared" si="16"/>
        <v>-</v>
      </c>
      <c r="AP27" s="289" t="str">
        <f t="shared" si="17"/>
        <v>-</v>
      </c>
      <c r="AQ27" s="9" t="str">
        <f t="shared" si="18"/>
        <v>-</v>
      </c>
      <c r="AR27" s="453"/>
      <c r="AS27" s="453"/>
      <c r="AT27" s="229" t="str">
        <f t="shared" si="19"/>
        <v>-</v>
      </c>
      <c r="AU27" s="290" t="str">
        <f t="shared" si="20"/>
        <v>N/A</v>
      </c>
      <c r="AV27" s="453"/>
      <c r="AW27" s="290" t="str">
        <f t="shared" si="7"/>
        <v>N/A</v>
      </c>
      <c r="AX27" s="453"/>
      <c r="AY27" s="290" t="str">
        <f t="shared" si="21"/>
        <v>N/A</v>
      </c>
      <c r="AZ27" s="453"/>
      <c r="BA27" s="291" t="str">
        <f t="shared" si="22"/>
        <v>N/A</v>
      </c>
      <c r="BB27" s="292" t="str">
        <f t="shared" si="23"/>
        <v>-</v>
      </c>
      <c r="BC27" s="512" t="str">
        <f t="shared" si="24"/>
        <v>-</v>
      </c>
      <c r="BD27" s="293" t="str">
        <f t="shared" si="25"/>
        <v>-</v>
      </c>
      <c r="BE27" s="293" t="str">
        <f t="shared" si="26"/>
        <v>-</v>
      </c>
      <c r="BF27" s="294" t="str">
        <f t="shared" si="27"/>
        <v>-</v>
      </c>
      <c r="BG27" s="9"/>
      <c r="BH27" s="9"/>
      <c r="BI27" s="9"/>
      <c r="BJ27" s="9"/>
      <c r="BZ27" s="9"/>
      <c r="CA27" s="273" t="str">
        <f>IF(BN9=BN17,"-",BN9)</f>
        <v>-</v>
      </c>
      <c r="CB27" s="54" t="s">
        <v>328</v>
      </c>
      <c r="CC27" s="54" t="s">
        <v>205</v>
      </c>
      <c r="CD27" s="54" t="s">
        <v>95</v>
      </c>
      <c r="CE27" s="54" t="s">
        <v>326</v>
      </c>
      <c r="CF27" s="54" t="s">
        <v>206</v>
      </c>
      <c r="CG27" s="54" t="s">
        <v>234</v>
      </c>
      <c r="CH27" s="274" t="s">
        <v>209</v>
      </c>
      <c r="CI27" s="9"/>
      <c r="DI27" s="9"/>
      <c r="DJ27" s="484"/>
      <c r="DK27" s="485"/>
      <c r="DL27" s="9" t="str">
        <f t="shared" si="0"/>
        <v>-</v>
      </c>
      <c r="DM27" s="485"/>
      <c r="DN27" s="485"/>
      <c r="DO27" s="279" t="str">
        <f t="shared" si="14"/>
        <v/>
      </c>
      <c r="DP27" s="485"/>
      <c r="DQ27" s="278" t="str">
        <f t="shared" si="15"/>
        <v/>
      </c>
      <c r="DR27" s="9"/>
      <c r="DS27" s="9"/>
      <c r="DT27" s="9"/>
      <c r="DU27" s="9"/>
      <c r="DY27" s="183"/>
      <c r="DZ27" s="183"/>
      <c r="EA27" s="183"/>
      <c r="EB27" s="183"/>
    </row>
    <row r="28" spans="39:146" ht="18.95" customHeight="1" x14ac:dyDescent="0.25">
      <c r="AM28" s="259">
        <v>23</v>
      </c>
      <c r="AN28" s="310" t="str">
        <f t="shared" si="29"/>
        <v>-</v>
      </c>
      <c r="AO28" s="9" t="str">
        <f t="shared" si="16"/>
        <v>-</v>
      </c>
      <c r="AP28" s="289" t="str">
        <f t="shared" si="17"/>
        <v>-</v>
      </c>
      <c r="AQ28" s="9" t="str">
        <f t="shared" si="18"/>
        <v>-</v>
      </c>
      <c r="AR28" s="453"/>
      <c r="AS28" s="453"/>
      <c r="AT28" s="229" t="str">
        <f t="shared" si="19"/>
        <v>-</v>
      </c>
      <c r="AU28" s="290" t="str">
        <f t="shared" si="20"/>
        <v>N/A</v>
      </c>
      <c r="AV28" s="453"/>
      <c r="AW28" s="290" t="str">
        <f t="shared" si="7"/>
        <v>N/A</v>
      </c>
      <c r="AX28" s="453"/>
      <c r="AY28" s="290" t="str">
        <f t="shared" si="21"/>
        <v>N/A</v>
      </c>
      <c r="AZ28" s="453"/>
      <c r="BA28" s="291" t="str">
        <f t="shared" si="22"/>
        <v>N/A</v>
      </c>
      <c r="BB28" s="292" t="str">
        <f t="shared" si="23"/>
        <v>-</v>
      </c>
      <c r="BC28" s="512" t="str">
        <f t="shared" si="24"/>
        <v>-</v>
      </c>
      <c r="BD28" s="293" t="str">
        <f t="shared" si="25"/>
        <v>-</v>
      </c>
      <c r="BE28" s="293" t="str">
        <f t="shared" si="26"/>
        <v>-</v>
      </c>
      <c r="BF28" s="294" t="str">
        <f t="shared" si="27"/>
        <v>-</v>
      </c>
      <c r="BG28" s="9"/>
      <c r="BH28" s="9"/>
      <c r="BI28" s="9"/>
      <c r="BJ28" s="9"/>
      <c r="BZ28" s="9"/>
      <c r="CA28" s="476"/>
      <c r="CB28" s="515">
        <f>IFERROR(VLOOKUP(CA28,Feed!$B$4:$H$19,2,FALSE)*($BR$9/$BQ$9)+VLOOKUP(CA28,Feed!$B$4:$H$19,3,FALSE)*($BS$9/$BQ$9)+VLOOKUP(CA28,Feed!$B$4:$H$19,4,FALSE)*($BT$9/$BQ$9)+VLOOKUP(CA28,Feed!$B$4:$H$19,5,FALSE)*($BU$9/$BQ$9),0)</f>
        <v>0</v>
      </c>
      <c r="CC28" s="299" t="str">
        <f t="shared" ref="CC28:CC33" si="35">IFERROR(VLOOKUP($CA28,FeedIngLst,6,FALSE),"-")</f>
        <v>-</v>
      </c>
      <c r="CD28" s="299" t="str">
        <f t="shared" ref="CD28:CD33" si="36">IFERROR(VLOOKUP($CA28,FeedIngLst,7,FALSE),"-")</f>
        <v>-</v>
      </c>
      <c r="CE28" s="482"/>
      <c r="CF28" s="299" t="str">
        <f>IFERROR(CE28/$CE$35,"-")</f>
        <v>-</v>
      </c>
      <c r="CG28" s="300">
        <f t="shared" ref="CG28:CG35" si="37">CE28*$R$15*$BQ$9/2000</f>
        <v>0</v>
      </c>
      <c r="CH28" s="301" t="str">
        <f t="shared" ref="CH28:CH34" si="38">IFERROR($CB28/$CC28/(1-$CD28),"-")</f>
        <v>-</v>
      </c>
      <c r="CI28" s="9"/>
      <c r="DI28" s="9"/>
      <c r="DJ28" s="484"/>
      <c r="DK28" s="485"/>
      <c r="DL28" s="9" t="str">
        <f t="shared" si="0"/>
        <v>-</v>
      </c>
      <c r="DM28" s="485"/>
      <c r="DN28" s="485"/>
      <c r="DO28" s="279" t="str">
        <f t="shared" si="14"/>
        <v/>
      </c>
      <c r="DP28" s="485"/>
      <c r="DQ28" s="278" t="str">
        <f t="shared" si="15"/>
        <v/>
      </c>
      <c r="DR28" s="9"/>
      <c r="DS28" s="9"/>
      <c r="DT28" s="9"/>
      <c r="DU28" s="9"/>
      <c r="DY28" s="183"/>
      <c r="DZ28" s="183"/>
      <c r="EA28" s="183"/>
      <c r="EB28" s="183"/>
    </row>
    <row r="29" spans="39:146" ht="18.95" customHeight="1" x14ac:dyDescent="0.25">
      <c r="AM29" s="259">
        <v>24</v>
      </c>
      <c r="AN29" s="310" t="str">
        <f t="shared" si="29"/>
        <v>-</v>
      </c>
      <c r="AO29" s="9" t="str">
        <f t="shared" si="16"/>
        <v>-</v>
      </c>
      <c r="AP29" s="289" t="str">
        <f t="shared" si="17"/>
        <v>-</v>
      </c>
      <c r="AQ29" s="9" t="str">
        <f t="shared" si="18"/>
        <v>-</v>
      </c>
      <c r="AR29" s="453"/>
      <c r="AS29" s="453"/>
      <c r="AT29" s="229" t="str">
        <f t="shared" si="19"/>
        <v>-</v>
      </c>
      <c r="AU29" s="290" t="str">
        <f t="shared" si="20"/>
        <v>N/A</v>
      </c>
      <c r="AV29" s="453"/>
      <c r="AW29" s="290" t="str">
        <f t="shared" si="7"/>
        <v>N/A</v>
      </c>
      <c r="AX29" s="453"/>
      <c r="AY29" s="290" t="str">
        <f t="shared" si="21"/>
        <v>N/A</v>
      </c>
      <c r="AZ29" s="453"/>
      <c r="BA29" s="291" t="str">
        <f t="shared" si="22"/>
        <v>N/A</v>
      </c>
      <c r="BB29" s="292" t="str">
        <f t="shared" si="23"/>
        <v>-</v>
      </c>
      <c r="BC29" s="512" t="str">
        <f t="shared" si="24"/>
        <v>-</v>
      </c>
      <c r="BD29" s="293" t="str">
        <f t="shared" si="25"/>
        <v>-</v>
      </c>
      <c r="BE29" s="293" t="str">
        <f t="shared" si="26"/>
        <v>-</v>
      </c>
      <c r="BF29" s="294" t="str">
        <f t="shared" si="27"/>
        <v>-</v>
      </c>
      <c r="BG29" s="9"/>
      <c r="BH29" s="9"/>
      <c r="BI29" s="9"/>
      <c r="BJ29" s="9"/>
      <c r="BZ29" s="9"/>
      <c r="CA29" s="476"/>
      <c r="CB29" s="515">
        <f>IFERROR(VLOOKUP(CA29,Feed!$B$4:$H$19,2,FALSE)*($BR$9/$BQ$9)+VLOOKUP(CA29,Feed!$B$4:$H$19,3,FALSE)*($BS$9/$BQ$9)+VLOOKUP(CA29,Feed!$B$4:$H$19,4,FALSE)*($BT$9/$BQ$9)+VLOOKUP(CA29,Feed!$B$4:$H$19,5,FALSE)*($BU$9/$BQ$9),0)</f>
        <v>0</v>
      </c>
      <c r="CC29" s="299" t="str">
        <f t="shared" si="35"/>
        <v>-</v>
      </c>
      <c r="CD29" s="299" t="str">
        <f t="shared" si="36"/>
        <v>-</v>
      </c>
      <c r="CE29" s="482"/>
      <c r="CF29" s="299" t="str">
        <f t="shared" ref="CF29:CF34" si="39">IFERROR(CE29/$CE$35,"-")</f>
        <v>-</v>
      </c>
      <c r="CG29" s="300">
        <f t="shared" si="37"/>
        <v>0</v>
      </c>
      <c r="CH29" s="301" t="str">
        <f t="shared" si="38"/>
        <v>-</v>
      </c>
      <c r="CI29" s="9"/>
      <c r="DI29" s="9"/>
      <c r="DJ29" s="486"/>
      <c r="DK29" s="473"/>
      <c r="DL29" s="399" t="str">
        <f t="shared" si="0"/>
        <v>-</v>
      </c>
      <c r="DM29" s="473"/>
      <c r="DN29" s="473"/>
      <c r="DO29" s="400" t="str">
        <f t="shared" si="14"/>
        <v/>
      </c>
      <c r="DP29" s="473"/>
      <c r="DQ29" s="383" t="str">
        <f t="shared" si="15"/>
        <v/>
      </c>
      <c r="DR29" s="9"/>
      <c r="DS29" s="9"/>
      <c r="DT29" s="9"/>
      <c r="DU29" s="9"/>
      <c r="DY29" s="183"/>
      <c r="DZ29" s="183"/>
      <c r="EA29" s="183"/>
      <c r="EB29" s="183"/>
    </row>
    <row r="30" spans="39:146" ht="18.95" customHeight="1" thickBot="1" x14ac:dyDescent="0.3">
      <c r="AM30" s="259">
        <v>25</v>
      </c>
      <c r="AN30" s="310" t="str">
        <f t="shared" si="29"/>
        <v>-</v>
      </c>
      <c r="AO30" s="9" t="str">
        <f t="shared" si="16"/>
        <v>-</v>
      </c>
      <c r="AP30" s="289" t="str">
        <f t="shared" si="17"/>
        <v>-</v>
      </c>
      <c r="AQ30" s="9" t="str">
        <f t="shared" si="18"/>
        <v>-</v>
      </c>
      <c r="AR30" s="453"/>
      <c r="AS30" s="453"/>
      <c r="AT30" s="229" t="str">
        <f t="shared" si="19"/>
        <v>-</v>
      </c>
      <c r="AU30" s="290" t="str">
        <f t="shared" si="20"/>
        <v>N/A</v>
      </c>
      <c r="AV30" s="453"/>
      <c r="AW30" s="290" t="str">
        <f t="shared" si="7"/>
        <v>N/A</v>
      </c>
      <c r="AX30" s="453"/>
      <c r="AY30" s="290" t="str">
        <f t="shared" si="21"/>
        <v>N/A</v>
      </c>
      <c r="AZ30" s="453"/>
      <c r="BA30" s="291" t="str">
        <f t="shared" si="22"/>
        <v>N/A</v>
      </c>
      <c r="BB30" s="292" t="str">
        <f t="shared" si="23"/>
        <v>-</v>
      </c>
      <c r="BC30" s="512" t="str">
        <f t="shared" si="24"/>
        <v>-</v>
      </c>
      <c r="BD30" s="293" t="str">
        <f t="shared" si="25"/>
        <v>-</v>
      </c>
      <c r="BE30" s="293" t="str">
        <f t="shared" si="26"/>
        <v>-</v>
      </c>
      <c r="BF30" s="294" t="str">
        <f t="shared" si="27"/>
        <v>-</v>
      </c>
      <c r="BG30" s="9"/>
      <c r="BH30" s="9"/>
      <c r="BI30" s="9"/>
      <c r="BJ30" s="9"/>
      <c r="BZ30" s="9"/>
      <c r="CA30" s="476"/>
      <c r="CB30" s="515">
        <f>IFERROR(VLOOKUP(CA30,Feed!$B$4:$H$19,2,FALSE)*($BR$9/$BQ$9)+VLOOKUP(CA30,Feed!$B$4:$H$19,3,FALSE)*($BS$9/$BQ$9)+VLOOKUP(CA30,Feed!$B$4:$H$19,4,FALSE)*($BT$9/$BQ$9)+VLOOKUP(CA30,Feed!$B$4:$H$19,5,FALSE)*($BU$9/$BQ$9),0)</f>
        <v>0</v>
      </c>
      <c r="CC30" s="299" t="str">
        <f t="shared" si="35"/>
        <v>-</v>
      </c>
      <c r="CD30" s="299" t="str">
        <f t="shared" si="36"/>
        <v>-</v>
      </c>
      <c r="CE30" s="482"/>
      <c r="CF30" s="299" t="str">
        <f t="shared" si="39"/>
        <v>-</v>
      </c>
      <c r="CG30" s="300">
        <f t="shared" si="37"/>
        <v>0</v>
      </c>
      <c r="CH30" s="301" t="str">
        <f t="shared" si="38"/>
        <v>-</v>
      </c>
      <c r="CI30" s="9"/>
      <c r="DI30" s="9"/>
      <c r="DJ30" s="384"/>
      <c r="DK30" s="385"/>
      <c r="DL30" s="385"/>
      <c r="DM30" s="385"/>
      <c r="DN30" s="385"/>
      <c r="DO30" s="386" t="s">
        <v>236</v>
      </c>
      <c r="DP30" s="370"/>
      <c r="DQ30" s="387">
        <f>SUM(DQ5:DQ29)</f>
        <v>0</v>
      </c>
      <c r="DR30" s="9"/>
      <c r="DS30" s="9"/>
      <c r="DT30" s="9"/>
      <c r="DU30" s="9"/>
      <c r="DY30" s="183"/>
      <c r="DZ30" s="183"/>
      <c r="EA30" s="183"/>
      <c r="EB30" s="183"/>
    </row>
    <row r="31" spans="39:146" ht="18.95" customHeight="1" x14ac:dyDescent="0.25">
      <c r="AM31" s="259">
        <v>26</v>
      </c>
      <c r="AN31" s="310" t="str">
        <f t="shared" si="29"/>
        <v>-</v>
      </c>
      <c r="AO31" s="9" t="str">
        <f t="shared" si="16"/>
        <v>-</v>
      </c>
      <c r="AP31" s="289" t="str">
        <f t="shared" si="17"/>
        <v>-</v>
      </c>
      <c r="AQ31" s="9" t="str">
        <f t="shared" si="18"/>
        <v>-</v>
      </c>
      <c r="AR31" s="453"/>
      <c r="AS31" s="453"/>
      <c r="AT31" s="229" t="str">
        <f t="shared" si="19"/>
        <v>-</v>
      </c>
      <c r="AU31" s="290" t="str">
        <f t="shared" si="20"/>
        <v>N/A</v>
      </c>
      <c r="AV31" s="453"/>
      <c r="AW31" s="290" t="str">
        <f t="shared" si="7"/>
        <v>N/A</v>
      </c>
      <c r="AX31" s="453"/>
      <c r="AY31" s="290" t="str">
        <f t="shared" si="21"/>
        <v>N/A</v>
      </c>
      <c r="AZ31" s="453"/>
      <c r="BA31" s="291" t="str">
        <f t="shared" si="22"/>
        <v>N/A</v>
      </c>
      <c r="BB31" s="292" t="str">
        <f t="shared" si="23"/>
        <v>-</v>
      </c>
      <c r="BC31" s="512" t="str">
        <f t="shared" si="24"/>
        <v>-</v>
      </c>
      <c r="BD31" s="293" t="str">
        <f t="shared" si="25"/>
        <v>-</v>
      </c>
      <c r="BE31" s="293" t="str">
        <f t="shared" si="26"/>
        <v>-</v>
      </c>
      <c r="BF31" s="294" t="str">
        <f t="shared" si="27"/>
        <v>-</v>
      </c>
      <c r="BG31" s="9"/>
      <c r="BH31" s="9"/>
      <c r="BI31" s="9"/>
      <c r="BJ31" s="9"/>
      <c r="BZ31" s="9"/>
      <c r="CA31" s="476"/>
      <c r="CB31" s="515">
        <f>IFERROR(VLOOKUP(CA31,Feed!$B$4:$H$19,2,FALSE)*($BR$9/$BQ$9)+VLOOKUP(CA31,Feed!$B$4:$H$19,3,FALSE)*($BS$9/$BQ$9)+VLOOKUP(CA31,Feed!$B$4:$H$19,4,FALSE)*($BT$9/$BQ$9)+VLOOKUP(CA31,Feed!$B$4:$H$19,5,FALSE)*($BU$9/$BQ$9),0)</f>
        <v>0</v>
      </c>
      <c r="CC31" s="299" t="str">
        <f t="shared" si="35"/>
        <v>-</v>
      </c>
      <c r="CD31" s="299" t="str">
        <f t="shared" si="36"/>
        <v>-</v>
      </c>
      <c r="CE31" s="482"/>
      <c r="CF31" s="299" t="str">
        <f t="shared" si="39"/>
        <v>-</v>
      </c>
      <c r="CG31" s="300">
        <f t="shared" si="37"/>
        <v>0</v>
      </c>
      <c r="CH31" s="301" t="str">
        <f t="shared" si="38"/>
        <v>-</v>
      </c>
      <c r="CI31" s="9"/>
      <c r="DI31" s="9"/>
      <c r="DJ31" s="9"/>
      <c r="DK31" s="9"/>
      <c r="DL31" s="9"/>
      <c r="DM31" s="9"/>
      <c r="DN31" s="9"/>
      <c r="DO31" s="9"/>
      <c r="DP31" s="9"/>
      <c r="DQ31" s="9"/>
      <c r="DR31" s="9"/>
      <c r="DS31" s="9"/>
      <c r="DT31" s="9"/>
      <c r="DU31" s="9"/>
    </row>
    <row r="32" spans="39:146" ht="18.95" customHeight="1" x14ac:dyDescent="0.25">
      <c r="AM32" s="259">
        <v>27</v>
      </c>
      <c r="AN32" s="310" t="str">
        <f t="shared" si="29"/>
        <v>-</v>
      </c>
      <c r="AO32" s="9" t="str">
        <f t="shared" si="16"/>
        <v>-</v>
      </c>
      <c r="AP32" s="289" t="str">
        <f t="shared" si="17"/>
        <v>-</v>
      </c>
      <c r="AQ32" s="9" t="str">
        <f t="shared" si="18"/>
        <v>-</v>
      </c>
      <c r="AR32" s="453"/>
      <c r="AS32" s="453"/>
      <c r="AT32" s="229" t="str">
        <f t="shared" si="19"/>
        <v>-</v>
      </c>
      <c r="AU32" s="290" t="str">
        <f t="shared" si="20"/>
        <v>N/A</v>
      </c>
      <c r="AV32" s="453"/>
      <c r="AW32" s="290" t="str">
        <f t="shared" si="7"/>
        <v>N/A</v>
      </c>
      <c r="AX32" s="453"/>
      <c r="AY32" s="290" t="str">
        <f t="shared" si="21"/>
        <v>N/A</v>
      </c>
      <c r="AZ32" s="453"/>
      <c r="BA32" s="291" t="str">
        <f t="shared" si="22"/>
        <v>N/A</v>
      </c>
      <c r="BB32" s="292" t="str">
        <f t="shared" si="23"/>
        <v>-</v>
      </c>
      <c r="BC32" s="512" t="str">
        <f t="shared" si="24"/>
        <v>-</v>
      </c>
      <c r="BD32" s="293" t="str">
        <f t="shared" si="25"/>
        <v>-</v>
      </c>
      <c r="BE32" s="293" t="str">
        <f t="shared" si="26"/>
        <v>-</v>
      </c>
      <c r="BF32" s="294" t="str">
        <f t="shared" si="27"/>
        <v>-</v>
      </c>
      <c r="BG32" s="9"/>
      <c r="BH32" s="9"/>
      <c r="BI32" s="9"/>
      <c r="BJ32" s="9"/>
      <c r="BZ32" s="9"/>
      <c r="CA32" s="476"/>
      <c r="CB32" s="515">
        <f>IFERROR(VLOOKUP(CA32,Feed!$B$4:$H$19,2,FALSE)*($BR$9/$BQ$9)+VLOOKUP(CA32,Feed!$B$4:$H$19,3,FALSE)*($BS$9/$BQ$9)+VLOOKUP(CA32,Feed!$B$4:$H$19,4,FALSE)*($BT$9/$BQ$9)+VLOOKUP(CA32,Feed!$B$4:$H$19,5,FALSE)*($BU$9/$BQ$9),0)</f>
        <v>0</v>
      </c>
      <c r="CC32" s="299" t="str">
        <f t="shared" si="35"/>
        <v>-</v>
      </c>
      <c r="CD32" s="299" t="str">
        <f t="shared" si="36"/>
        <v>-</v>
      </c>
      <c r="CE32" s="482"/>
      <c r="CF32" s="299" t="str">
        <f t="shared" si="39"/>
        <v>-</v>
      </c>
      <c r="CG32" s="300">
        <f t="shared" si="37"/>
        <v>0</v>
      </c>
      <c r="CH32" s="301" t="str">
        <f t="shared" si="38"/>
        <v>-</v>
      </c>
      <c r="CI32" s="9"/>
    </row>
    <row r="33" spans="39:87" ht="18.95" customHeight="1" x14ac:dyDescent="0.25">
      <c r="AM33" s="259">
        <v>28</v>
      </c>
      <c r="AN33" s="310" t="str">
        <f t="shared" si="29"/>
        <v>-</v>
      </c>
      <c r="AO33" s="9" t="str">
        <f t="shared" si="16"/>
        <v>-</v>
      </c>
      <c r="AP33" s="289" t="str">
        <f t="shared" si="17"/>
        <v>-</v>
      </c>
      <c r="AQ33" s="9" t="str">
        <f t="shared" si="18"/>
        <v>-</v>
      </c>
      <c r="AR33" s="453"/>
      <c r="AS33" s="453"/>
      <c r="AT33" s="229" t="str">
        <f t="shared" si="19"/>
        <v>-</v>
      </c>
      <c r="AU33" s="290" t="str">
        <f t="shared" si="20"/>
        <v>N/A</v>
      </c>
      <c r="AV33" s="453"/>
      <c r="AW33" s="290" t="str">
        <f t="shared" si="7"/>
        <v>N/A</v>
      </c>
      <c r="AX33" s="453"/>
      <c r="AY33" s="290" t="str">
        <f t="shared" si="21"/>
        <v>N/A</v>
      </c>
      <c r="AZ33" s="453"/>
      <c r="BA33" s="291" t="str">
        <f t="shared" si="22"/>
        <v>N/A</v>
      </c>
      <c r="BB33" s="292" t="str">
        <f t="shared" si="23"/>
        <v>-</v>
      </c>
      <c r="BC33" s="512" t="str">
        <f t="shared" si="24"/>
        <v>-</v>
      </c>
      <c r="BD33" s="293" t="str">
        <f t="shared" si="25"/>
        <v>-</v>
      </c>
      <c r="BE33" s="293" t="str">
        <f t="shared" si="26"/>
        <v>-</v>
      </c>
      <c r="BF33" s="294" t="str">
        <f t="shared" si="27"/>
        <v>-</v>
      </c>
      <c r="BG33" s="9"/>
      <c r="BH33" s="9"/>
      <c r="BI33" s="9"/>
      <c r="BJ33" s="9"/>
      <c r="BZ33" s="9"/>
      <c r="CA33" s="476"/>
      <c r="CB33" s="515">
        <f>IFERROR(VLOOKUP(CA33,Feed!$B$4:$H$19,2,FALSE)*($BR$9/$BQ$9)+VLOOKUP(CA33,Feed!$B$4:$H$19,3,FALSE)*($BS$9/$BQ$9)+VLOOKUP(CA33,Feed!$B$4:$H$19,4,FALSE)*($BT$9/$BQ$9)+VLOOKUP(CA33,Feed!$B$4:$H$19,5,FALSE)*($BU$9/$BQ$9),0)</f>
        <v>0</v>
      </c>
      <c r="CC33" s="299" t="str">
        <f t="shared" si="35"/>
        <v>-</v>
      </c>
      <c r="CD33" s="299" t="str">
        <f t="shared" si="36"/>
        <v>-</v>
      </c>
      <c r="CE33" s="482"/>
      <c r="CF33" s="299" t="str">
        <f t="shared" si="39"/>
        <v>-</v>
      </c>
      <c r="CG33" s="300">
        <f t="shared" si="37"/>
        <v>0</v>
      </c>
      <c r="CH33" s="301" t="str">
        <f t="shared" si="38"/>
        <v>-</v>
      </c>
      <c r="CI33" s="9"/>
    </row>
    <row r="34" spans="39:87" ht="18.95" customHeight="1" x14ac:dyDescent="0.25">
      <c r="AM34" s="259">
        <v>29</v>
      </c>
      <c r="AN34" s="310" t="str">
        <f t="shared" si="29"/>
        <v>-</v>
      </c>
      <c r="AO34" s="9" t="str">
        <f t="shared" si="16"/>
        <v>-</v>
      </c>
      <c r="AP34" s="289" t="str">
        <f t="shared" si="17"/>
        <v>-</v>
      </c>
      <c r="AQ34" s="9" t="str">
        <f t="shared" si="18"/>
        <v>-</v>
      </c>
      <c r="AR34" s="453"/>
      <c r="AS34" s="453"/>
      <c r="AT34" s="229" t="str">
        <f t="shared" si="19"/>
        <v>-</v>
      </c>
      <c r="AU34" s="290" t="str">
        <f t="shared" si="20"/>
        <v>N/A</v>
      </c>
      <c r="AV34" s="453"/>
      <c r="AW34" s="290" t="str">
        <f t="shared" si="7"/>
        <v>N/A</v>
      </c>
      <c r="AX34" s="453"/>
      <c r="AY34" s="290" t="str">
        <f t="shared" si="21"/>
        <v>N/A</v>
      </c>
      <c r="AZ34" s="453"/>
      <c r="BA34" s="291" t="str">
        <f t="shared" si="22"/>
        <v>N/A</v>
      </c>
      <c r="BB34" s="292" t="str">
        <f t="shared" si="23"/>
        <v>-</v>
      </c>
      <c r="BC34" s="512" t="str">
        <f t="shared" si="24"/>
        <v>-</v>
      </c>
      <c r="BD34" s="293" t="str">
        <f t="shared" si="25"/>
        <v>-</v>
      </c>
      <c r="BE34" s="293" t="str">
        <f t="shared" si="26"/>
        <v>-</v>
      </c>
      <c r="BF34" s="294" t="str">
        <f t="shared" si="27"/>
        <v>-</v>
      </c>
      <c r="BG34" s="9"/>
      <c r="BH34" s="9"/>
      <c r="BI34" s="9"/>
      <c r="BJ34" s="9"/>
      <c r="BZ34" s="9"/>
      <c r="CA34" s="338" t="s">
        <v>330</v>
      </c>
      <c r="CB34" s="516">
        <f>'AUM Evaluator'!$S$9*$CB$61</f>
        <v>78.359787947924048</v>
      </c>
      <c r="CC34" s="299">
        <v>1</v>
      </c>
      <c r="CD34" s="340">
        <v>0</v>
      </c>
      <c r="CE34" s="483"/>
      <c r="CF34" s="341" t="str">
        <f t="shared" si="39"/>
        <v>-</v>
      </c>
      <c r="CG34" s="342">
        <f t="shared" si="37"/>
        <v>0</v>
      </c>
      <c r="CH34" s="343">
        <f t="shared" si="38"/>
        <v>78.359787947924048</v>
      </c>
      <c r="CI34" s="9"/>
    </row>
    <row r="35" spans="39:87" ht="18.95" customHeight="1" x14ac:dyDescent="0.25">
      <c r="AM35" s="259">
        <v>30</v>
      </c>
      <c r="AN35" s="310" t="str">
        <f t="shared" si="29"/>
        <v>-</v>
      </c>
      <c r="AO35" s="9" t="str">
        <f t="shared" si="16"/>
        <v>-</v>
      </c>
      <c r="AP35" s="289" t="str">
        <f t="shared" si="17"/>
        <v>-</v>
      </c>
      <c r="AQ35" s="9" t="str">
        <f t="shared" si="18"/>
        <v>-</v>
      </c>
      <c r="AR35" s="453"/>
      <c r="AS35" s="453"/>
      <c r="AT35" s="229" t="str">
        <f t="shared" si="19"/>
        <v>-</v>
      </c>
      <c r="AU35" s="290" t="str">
        <f t="shared" si="20"/>
        <v>N/A</v>
      </c>
      <c r="AV35" s="453"/>
      <c r="AW35" s="290" t="str">
        <f t="shared" si="7"/>
        <v>N/A</v>
      </c>
      <c r="AX35" s="453"/>
      <c r="AY35" s="290" t="str">
        <f t="shared" si="21"/>
        <v>N/A</v>
      </c>
      <c r="AZ35" s="453"/>
      <c r="BA35" s="291" t="str">
        <f t="shared" si="22"/>
        <v>N/A</v>
      </c>
      <c r="BB35" s="292" t="str">
        <f t="shared" si="23"/>
        <v>-</v>
      </c>
      <c r="BC35" s="512" t="str">
        <f t="shared" si="24"/>
        <v>-</v>
      </c>
      <c r="BD35" s="293" t="str">
        <f t="shared" si="25"/>
        <v>-</v>
      </c>
      <c r="BE35" s="293" t="str">
        <f t="shared" si="26"/>
        <v>-</v>
      </c>
      <c r="BF35" s="294" t="str">
        <f t="shared" si="27"/>
        <v>-</v>
      </c>
      <c r="BG35" s="9"/>
      <c r="BH35" s="9"/>
      <c r="BI35" s="9"/>
      <c r="BJ35" s="9"/>
      <c r="BZ35" s="9"/>
      <c r="CA35" s="348"/>
      <c r="CB35" s="349"/>
      <c r="CC35" s="350" t="s">
        <v>58</v>
      </c>
      <c r="CD35" s="351"/>
      <c r="CE35" s="352">
        <f>SUM(CE28:CE34)</f>
        <v>0</v>
      </c>
      <c r="CF35" s="353">
        <f>SUM(CF28:CF34)</f>
        <v>0</v>
      </c>
      <c r="CG35" s="352">
        <f t="shared" si="37"/>
        <v>0</v>
      </c>
      <c r="CH35" s="354"/>
      <c r="CI35" s="9"/>
    </row>
    <row r="36" spans="39:87" ht="18.95" customHeight="1" thickBot="1" x14ac:dyDescent="0.3">
      <c r="AM36" s="259">
        <v>31</v>
      </c>
      <c r="AN36" s="310" t="str">
        <f t="shared" si="29"/>
        <v>-</v>
      </c>
      <c r="AO36" s="9" t="str">
        <f t="shared" si="16"/>
        <v>-</v>
      </c>
      <c r="AP36" s="289" t="str">
        <f t="shared" si="17"/>
        <v>-</v>
      </c>
      <c r="AQ36" s="9" t="str">
        <f t="shared" si="18"/>
        <v>-</v>
      </c>
      <c r="AR36" s="453"/>
      <c r="AS36" s="453"/>
      <c r="AT36" s="229" t="str">
        <f t="shared" si="19"/>
        <v>-</v>
      </c>
      <c r="AU36" s="290" t="str">
        <f t="shared" si="20"/>
        <v>N/A</v>
      </c>
      <c r="AV36" s="453"/>
      <c r="AW36" s="290" t="str">
        <f t="shared" si="7"/>
        <v>N/A</v>
      </c>
      <c r="AX36" s="453"/>
      <c r="AY36" s="290" t="str">
        <f t="shared" si="21"/>
        <v>N/A</v>
      </c>
      <c r="AZ36" s="453"/>
      <c r="BA36" s="291" t="str">
        <f t="shared" si="22"/>
        <v>N/A</v>
      </c>
      <c r="BB36" s="292" t="str">
        <f t="shared" si="23"/>
        <v>-</v>
      </c>
      <c r="BC36" s="512" t="str">
        <f t="shared" si="24"/>
        <v>-</v>
      </c>
      <c r="BD36" s="293" t="str">
        <f t="shared" si="25"/>
        <v>-</v>
      </c>
      <c r="BE36" s="293" t="str">
        <f t="shared" si="26"/>
        <v>-</v>
      </c>
      <c r="BF36" s="294" t="str">
        <f t="shared" si="27"/>
        <v>-</v>
      </c>
      <c r="BG36" s="9"/>
      <c r="BH36" s="9"/>
      <c r="BI36" s="9"/>
      <c r="BJ36" s="9"/>
      <c r="BZ36" s="9"/>
      <c r="CA36" s="363"/>
      <c r="CB36" s="364"/>
      <c r="CC36" s="365"/>
      <c r="CD36" s="366" t="s">
        <v>208</v>
      </c>
      <c r="CE36" s="366"/>
      <c r="CF36" s="367"/>
      <c r="CG36" s="367"/>
      <c r="CH36" s="368">
        <f>SUMPRODUCT(CF28:CF34,CH28:CH34,CC28:CC34)</f>
        <v>0</v>
      </c>
      <c r="CI36" s="9"/>
    </row>
    <row r="37" spans="39:87" ht="18.95" customHeight="1" thickBot="1" x14ac:dyDescent="0.3">
      <c r="AM37" s="259">
        <v>32</v>
      </c>
      <c r="AN37" s="310" t="str">
        <f t="shared" si="29"/>
        <v>-</v>
      </c>
      <c r="AO37" s="9" t="str">
        <f t="shared" si="16"/>
        <v>-</v>
      </c>
      <c r="AP37" s="289" t="str">
        <f t="shared" si="17"/>
        <v>-</v>
      </c>
      <c r="AQ37" s="9" t="str">
        <f t="shared" si="18"/>
        <v>-</v>
      </c>
      <c r="AR37" s="453"/>
      <c r="AS37" s="453"/>
      <c r="AT37" s="229" t="str">
        <f t="shared" si="19"/>
        <v>-</v>
      </c>
      <c r="AU37" s="290" t="str">
        <f t="shared" si="20"/>
        <v>N/A</v>
      </c>
      <c r="AV37" s="453"/>
      <c r="AW37" s="290" t="str">
        <f t="shared" si="7"/>
        <v>N/A</v>
      </c>
      <c r="AX37" s="453"/>
      <c r="AY37" s="290" t="str">
        <f t="shared" si="21"/>
        <v>N/A</v>
      </c>
      <c r="AZ37" s="453"/>
      <c r="BA37" s="291" t="str">
        <f t="shared" si="22"/>
        <v>N/A</v>
      </c>
      <c r="BB37" s="292" t="str">
        <f t="shared" si="23"/>
        <v>-</v>
      </c>
      <c r="BC37" s="512" t="str">
        <f t="shared" si="24"/>
        <v>-</v>
      </c>
      <c r="BD37" s="293" t="str">
        <f t="shared" si="25"/>
        <v>-</v>
      </c>
      <c r="BE37" s="293" t="str">
        <f t="shared" si="26"/>
        <v>-</v>
      </c>
      <c r="BF37" s="294" t="str">
        <f t="shared" si="27"/>
        <v>-</v>
      </c>
      <c r="BG37" s="9"/>
      <c r="BH37" s="9"/>
      <c r="BI37" s="9"/>
      <c r="BJ37" s="9"/>
      <c r="BZ37" s="9"/>
      <c r="CA37" s="9"/>
      <c r="CB37" s="9"/>
      <c r="CC37" s="9"/>
      <c r="CD37" s="9"/>
      <c r="CE37" s="9"/>
      <c r="CF37" s="9"/>
      <c r="CG37" s="9"/>
      <c r="CH37" s="9"/>
      <c r="CI37" s="9"/>
    </row>
    <row r="38" spans="39:87" ht="31.5" x14ac:dyDescent="0.25">
      <c r="AM38" s="259">
        <v>33</v>
      </c>
      <c r="AN38" s="310" t="str">
        <f t="shared" si="29"/>
        <v>-</v>
      </c>
      <c r="AO38" s="9" t="str">
        <f t="shared" si="16"/>
        <v>-</v>
      </c>
      <c r="AP38" s="289" t="str">
        <f t="shared" si="17"/>
        <v>-</v>
      </c>
      <c r="AQ38" s="9" t="str">
        <f t="shared" si="18"/>
        <v>-</v>
      </c>
      <c r="AR38" s="453"/>
      <c r="AS38" s="453"/>
      <c r="AT38" s="229" t="str">
        <f t="shared" si="19"/>
        <v>-</v>
      </c>
      <c r="AU38" s="290" t="str">
        <f t="shared" si="20"/>
        <v>N/A</v>
      </c>
      <c r="AV38" s="453"/>
      <c r="AW38" s="290" t="str">
        <f t="shared" si="7"/>
        <v>N/A</v>
      </c>
      <c r="AX38" s="453"/>
      <c r="AY38" s="290" t="str">
        <f t="shared" si="21"/>
        <v>N/A</v>
      </c>
      <c r="AZ38" s="453"/>
      <c r="BA38" s="291" t="str">
        <f t="shared" si="22"/>
        <v>N/A</v>
      </c>
      <c r="BB38" s="292" t="str">
        <f t="shared" si="23"/>
        <v>-</v>
      </c>
      <c r="BC38" s="512" t="str">
        <f t="shared" si="24"/>
        <v>-</v>
      </c>
      <c r="BD38" s="293" t="str">
        <f t="shared" si="25"/>
        <v>-</v>
      </c>
      <c r="BE38" s="293" t="str">
        <f t="shared" si="26"/>
        <v>-</v>
      </c>
      <c r="BF38" s="294" t="str">
        <f t="shared" si="27"/>
        <v>-</v>
      </c>
      <c r="BG38" s="9"/>
      <c r="BH38" s="9"/>
      <c r="BI38" s="9"/>
      <c r="BJ38" s="9"/>
      <c r="BZ38" s="9"/>
      <c r="CA38" s="273" t="str">
        <f>IF(BN10=BN17,"-",BN10)</f>
        <v>-</v>
      </c>
      <c r="CB38" s="54" t="s">
        <v>328</v>
      </c>
      <c r="CC38" s="54" t="s">
        <v>205</v>
      </c>
      <c r="CD38" s="54" t="s">
        <v>95</v>
      </c>
      <c r="CE38" s="54" t="s">
        <v>326</v>
      </c>
      <c r="CF38" s="54" t="s">
        <v>206</v>
      </c>
      <c r="CG38" s="54" t="s">
        <v>234</v>
      </c>
      <c r="CH38" s="274" t="s">
        <v>209</v>
      </c>
      <c r="CI38" s="9"/>
    </row>
    <row r="39" spans="39:87" ht="18.95" customHeight="1" x14ac:dyDescent="0.25">
      <c r="AM39" s="259">
        <v>34</v>
      </c>
      <c r="AN39" s="310" t="str">
        <f t="shared" si="29"/>
        <v>-</v>
      </c>
      <c r="AO39" s="9" t="str">
        <f t="shared" si="16"/>
        <v>-</v>
      </c>
      <c r="AP39" s="289" t="str">
        <f t="shared" si="17"/>
        <v>-</v>
      </c>
      <c r="AQ39" s="9" t="str">
        <f t="shared" si="18"/>
        <v>-</v>
      </c>
      <c r="AR39" s="453"/>
      <c r="AS39" s="453"/>
      <c r="AT39" s="229" t="str">
        <f t="shared" si="19"/>
        <v>-</v>
      </c>
      <c r="AU39" s="290" t="str">
        <f t="shared" si="20"/>
        <v>N/A</v>
      </c>
      <c r="AV39" s="453"/>
      <c r="AW39" s="290" t="str">
        <f t="shared" si="7"/>
        <v>N/A</v>
      </c>
      <c r="AX39" s="453"/>
      <c r="AY39" s="290" t="str">
        <f t="shared" si="21"/>
        <v>N/A</v>
      </c>
      <c r="AZ39" s="453"/>
      <c r="BA39" s="291" t="str">
        <f t="shared" si="22"/>
        <v>N/A</v>
      </c>
      <c r="BB39" s="292" t="str">
        <f t="shared" si="23"/>
        <v>-</v>
      </c>
      <c r="BC39" s="512" t="str">
        <f t="shared" si="24"/>
        <v>-</v>
      </c>
      <c r="BD39" s="293" t="str">
        <f t="shared" si="25"/>
        <v>-</v>
      </c>
      <c r="BE39" s="293" t="str">
        <f t="shared" si="26"/>
        <v>-</v>
      </c>
      <c r="BF39" s="294" t="str">
        <f t="shared" si="27"/>
        <v>-</v>
      </c>
      <c r="BG39" s="9"/>
      <c r="BH39" s="9"/>
      <c r="BI39" s="9"/>
      <c r="BJ39" s="9"/>
      <c r="BZ39" s="9"/>
      <c r="CA39" s="476"/>
      <c r="CB39" s="515">
        <f>IFERROR(VLOOKUP(CA39,Feed!$B$4:$H$19,2,FALSE)*($BR$10/$BQ$10)+VLOOKUP(CA39,Feed!$B$4:$H$19,3,FALSE)*($BS$10/$BQ$10)+VLOOKUP(CA39,Feed!$B$4:$H$19,4,FALSE)*($BT$10/$BQ$10)+VLOOKUP(CA39,Feed!$B$4:$H$19,5,FALSE)*($BU$10/$BQ$10),0)</f>
        <v>0</v>
      </c>
      <c r="CC39" s="299" t="str">
        <f t="shared" ref="CC39:CC44" si="40">IFERROR(VLOOKUP($CA39,FeedIngLst,6,FALSE),"-")</f>
        <v>-</v>
      </c>
      <c r="CD39" s="299" t="str">
        <f t="shared" ref="CD39:CD44" si="41">IFERROR(VLOOKUP($CA39,FeedIngLst,7,FALSE),"-")</f>
        <v>-</v>
      </c>
      <c r="CE39" s="482"/>
      <c r="CF39" s="299" t="str">
        <f>IFERROR(CE39/$CE$46,"-")</f>
        <v>-</v>
      </c>
      <c r="CG39" s="300">
        <f t="shared" ref="CG39:CG46" si="42">CE39*$R$15*$BQ$10/2000</f>
        <v>0</v>
      </c>
      <c r="CH39" s="301" t="str">
        <f t="shared" ref="CH39:CH45" si="43">IFERROR($CB39/$CC39/(1-$CD39),"-")</f>
        <v>-</v>
      </c>
      <c r="CI39" s="9"/>
    </row>
    <row r="40" spans="39:87" ht="18.95" customHeight="1" x14ac:dyDescent="0.25">
      <c r="AM40" s="259">
        <v>35</v>
      </c>
      <c r="AN40" s="310" t="str">
        <f t="shared" si="29"/>
        <v>-</v>
      </c>
      <c r="AO40" s="9" t="str">
        <f t="shared" si="16"/>
        <v>-</v>
      </c>
      <c r="AP40" s="289" t="str">
        <f t="shared" si="17"/>
        <v>-</v>
      </c>
      <c r="AQ40" s="9" t="str">
        <f t="shared" si="18"/>
        <v>-</v>
      </c>
      <c r="AR40" s="453"/>
      <c r="AS40" s="453"/>
      <c r="AT40" s="229" t="str">
        <f t="shared" si="19"/>
        <v>-</v>
      </c>
      <c r="AU40" s="290" t="str">
        <f t="shared" si="20"/>
        <v>N/A</v>
      </c>
      <c r="AV40" s="453"/>
      <c r="AW40" s="290" t="str">
        <f t="shared" si="7"/>
        <v>N/A</v>
      </c>
      <c r="AX40" s="453"/>
      <c r="AY40" s="290" t="str">
        <f t="shared" si="21"/>
        <v>N/A</v>
      </c>
      <c r="AZ40" s="453"/>
      <c r="BA40" s="291" t="str">
        <f t="shared" si="22"/>
        <v>N/A</v>
      </c>
      <c r="BB40" s="292" t="str">
        <f t="shared" si="23"/>
        <v>-</v>
      </c>
      <c r="BC40" s="512" t="str">
        <f t="shared" si="24"/>
        <v>-</v>
      </c>
      <c r="BD40" s="293" t="str">
        <f t="shared" si="25"/>
        <v>-</v>
      </c>
      <c r="BE40" s="293" t="str">
        <f t="shared" si="26"/>
        <v>-</v>
      </c>
      <c r="BF40" s="294" t="str">
        <f t="shared" si="27"/>
        <v>-</v>
      </c>
      <c r="BG40" s="9"/>
      <c r="BH40" s="9"/>
      <c r="BI40" s="9"/>
      <c r="BJ40" s="9"/>
      <c r="BZ40" s="9"/>
      <c r="CA40" s="476"/>
      <c r="CB40" s="515">
        <f>IFERROR(VLOOKUP(CA40,Feed!$B$4:$H$19,2,FALSE)*($BR$10/$BQ$10)+VLOOKUP(CA40,Feed!$B$4:$H$19,3,FALSE)*($BS$10/$BQ$10)+VLOOKUP(CA40,Feed!$B$4:$H$19,4,FALSE)*($BT$10/$BQ$10)+VLOOKUP(CA40,Feed!$B$4:$H$19,5,FALSE)*($BU$10/$BQ$10),0)</f>
        <v>0</v>
      </c>
      <c r="CC40" s="299" t="str">
        <f t="shared" si="40"/>
        <v>-</v>
      </c>
      <c r="CD40" s="299" t="str">
        <f t="shared" si="41"/>
        <v>-</v>
      </c>
      <c r="CE40" s="482"/>
      <c r="CF40" s="299" t="str">
        <f t="shared" ref="CF40:CF45" si="44">IFERROR(CE40/$CE$46,"-")</f>
        <v>-</v>
      </c>
      <c r="CG40" s="300">
        <f t="shared" si="42"/>
        <v>0</v>
      </c>
      <c r="CH40" s="301" t="str">
        <f t="shared" si="43"/>
        <v>-</v>
      </c>
      <c r="CI40" s="9"/>
    </row>
    <row r="41" spans="39:87" ht="18.95" customHeight="1" x14ac:dyDescent="0.25">
      <c r="AM41" s="259">
        <v>36</v>
      </c>
      <c r="AN41" s="310" t="str">
        <f t="shared" si="29"/>
        <v>-</v>
      </c>
      <c r="AO41" s="9" t="str">
        <f t="shared" si="16"/>
        <v>-</v>
      </c>
      <c r="AP41" s="289" t="str">
        <f t="shared" si="17"/>
        <v>-</v>
      </c>
      <c r="AQ41" s="9" t="str">
        <f t="shared" si="18"/>
        <v>-</v>
      </c>
      <c r="AR41" s="453"/>
      <c r="AS41" s="453"/>
      <c r="AT41" s="229" t="str">
        <f t="shared" si="19"/>
        <v>-</v>
      </c>
      <c r="AU41" s="290" t="str">
        <f t="shared" si="20"/>
        <v>N/A</v>
      </c>
      <c r="AV41" s="453"/>
      <c r="AW41" s="290" t="str">
        <f t="shared" si="7"/>
        <v>N/A</v>
      </c>
      <c r="AX41" s="453"/>
      <c r="AY41" s="290" t="str">
        <f t="shared" si="21"/>
        <v>N/A</v>
      </c>
      <c r="AZ41" s="453"/>
      <c r="BA41" s="291" t="str">
        <f t="shared" si="22"/>
        <v>N/A</v>
      </c>
      <c r="BB41" s="292" t="str">
        <f t="shared" si="23"/>
        <v>-</v>
      </c>
      <c r="BC41" s="512" t="str">
        <f t="shared" si="24"/>
        <v>-</v>
      </c>
      <c r="BD41" s="293" t="str">
        <f t="shared" si="25"/>
        <v>-</v>
      </c>
      <c r="BE41" s="293" t="str">
        <f t="shared" si="26"/>
        <v>-</v>
      </c>
      <c r="BF41" s="294" t="str">
        <f t="shared" si="27"/>
        <v>-</v>
      </c>
      <c r="BG41" s="9"/>
      <c r="BH41" s="9"/>
      <c r="BI41" s="9"/>
      <c r="BJ41" s="9"/>
      <c r="BZ41" s="9"/>
      <c r="CA41" s="476"/>
      <c r="CB41" s="515">
        <f>IFERROR(VLOOKUP(CA41,Feed!$B$4:$H$19,2,FALSE)*($BR$10/$BQ$10)+VLOOKUP(CA41,Feed!$B$4:$H$19,3,FALSE)*($BS$10/$BQ$10)+VLOOKUP(CA41,Feed!$B$4:$H$19,4,FALSE)*($BT$10/$BQ$10)+VLOOKUP(CA41,Feed!$B$4:$H$19,5,FALSE)*($BU$10/$BQ$10),0)</f>
        <v>0</v>
      </c>
      <c r="CC41" s="299" t="str">
        <f t="shared" si="40"/>
        <v>-</v>
      </c>
      <c r="CD41" s="299" t="str">
        <f t="shared" si="41"/>
        <v>-</v>
      </c>
      <c r="CE41" s="482"/>
      <c r="CF41" s="299" t="str">
        <f t="shared" si="44"/>
        <v>-</v>
      </c>
      <c r="CG41" s="300">
        <f t="shared" si="42"/>
        <v>0</v>
      </c>
      <c r="CH41" s="301" t="str">
        <f t="shared" si="43"/>
        <v>-</v>
      </c>
      <c r="CI41" s="9"/>
    </row>
    <row r="42" spans="39:87" ht="18.95" customHeight="1" x14ac:dyDescent="0.25">
      <c r="AM42" s="259">
        <v>37</v>
      </c>
      <c r="AN42" s="310" t="str">
        <f t="shared" si="29"/>
        <v>-</v>
      </c>
      <c r="AO42" s="9" t="str">
        <f t="shared" si="16"/>
        <v>-</v>
      </c>
      <c r="AP42" s="289" t="str">
        <f t="shared" si="17"/>
        <v>-</v>
      </c>
      <c r="AQ42" s="9" t="str">
        <f t="shared" si="18"/>
        <v>-</v>
      </c>
      <c r="AR42" s="453"/>
      <c r="AS42" s="453"/>
      <c r="AT42" s="229" t="str">
        <f t="shared" si="19"/>
        <v>-</v>
      </c>
      <c r="AU42" s="290" t="str">
        <f t="shared" si="20"/>
        <v>N/A</v>
      </c>
      <c r="AV42" s="453"/>
      <c r="AW42" s="290" t="str">
        <f t="shared" si="7"/>
        <v>N/A</v>
      </c>
      <c r="AX42" s="453"/>
      <c r="AY42" s="290" t="str">
        <f t="shared" si="21"/>
        <v>N/A</v>
      </c>
      <c r="AZ42" s="453"/>
      <c r="BA42" s="291" t="str">
        <f t="shared" si="22"/>
        <v>N/A</v>
      </c>
      <c r="BB42" s="292" t="str">
        <f t="shared" si="23"/>
        <v>-</v>
      </c>
      <c r="BC42" s="512" t="str">
        <f t="shared" si="24"/>
        <v>-</v>
      </c>
      <c r="BD42" s="293" t="str">
        <f t="shared" si="25"/>
        <v>-</v>
      </c>
      <c r="BE42" s="293" t="str">
        <f t="shared" si="26"/>
        <v>-</v>
      </c>
      <c r="BF42" s="294" t="str">
        <f t="shared" si="27"/>
        <v>-</v>
      </c>
      <c r="BG42" s="9"/>
      <c r="BH42" s="9"/>
      <c r="BI42" s="9"/>
      <c r="BJ42" s="9"/>
      <c r="BZ42" s="9"/>
      <c r="CA42" s="476"/>
      <c r="CB42" s="515">
        <f>IFERROR(VLOOKUP(CA42,Feed!$B$4:$H$19,2,FALSE)*($BR$10/$BQ$10)+VLOOKUP(CA42,Feed!$B$4:$H$19,3,FALSE)*($BS$10/$BQ$10)+VLOOKUP(CA42,Feed!$B$4:$H$19,4,FALSE)*($BT$10/$BQ$10)+VLOOKUP(CA42,Feed!$B$4:$H$19,5,FALSE)*($BU$10/$BQ$10),0)</f>
        <v>0</v>
      </c>
      <c r="CC42" s="299" t="str">
        <f t="shared" si="40"/>
        <v>-</v>
      </c>
      <c r="CD42" s="299" t="str">
        <f t="shared" si="41"/>
        <v>-</v>
      </c>
      <c r="CE42" s="482"/>
      <c r="CF42" s="299" t="str">
        <f t="shared" si="44"/>
        <v>-</v>
      </c>
      <c r="CG42" s="300">
        <f t="shared" si="42"/>
        <v>0</v>
      </c>
      <c r="CH42" s="301" t="str">
        <f t="shared" si="43"/>
        <v>-</v>
      </c>
      <c r="CI42" s="9"/>
    </row>
    <row r="43" spans="39:87" ht="18.95" customHeight="1" x14ac:dyDescent="0.25">
      <c r="AM43" s="259">
        <v>38</v>
      </c>
      <c r="AN43" s="310" t="str">
        <f t="shared" si="29"/>
        <v>-</v>
      </c>
      <c r="AO43" s="9" t="str">
        <f t="shared" si="16"/>
        <v>-</v>
      </c>
      <c r="AP43" s="289" t="str">
        <f t="shared" si="17"/>
        <v>-</v>
      </c>
      <c r="AQ43" s="9" t="str">
        <f t="shared" si="18"/>
        <v>-</v>
      </c>
      <c r="AR43" s="453"/>
      <c r="AS43" s="453"/>
      <c r="AT43" s="229" t="str">
        <f t="shared" si="19"/>
        <v>-</v>
      </c>
      <c r="AU43" s="290" t="str">
        <f t="shared" si="20"/>
        <v>N/A</v>
      </c>
      <c r="AV43" s="453"/>
      <c r="AW43" s="290" t="str">
        <f t="shared" si="7"/>
        <v>N/A</v>
      </c>
      <c r="AX43" s="453"/>
      <c r="AY43" s="290" t="str">
        <f t="shared" si="21"/>
        <v>N/A</v>
      </c>
      <c r="AZ43" s="453"/>
      <c r="BA43" s="291" t="str">
        <f t="shared" si="22"/>
        <v>N/A</v>
      </c>
      <c r="BB43" s="292" t="str">
        <f t="shared" si="23"/>
        <v>-</v>
      </c>
      <c r="BC43" s="512" t="str">
        <f t="shared" si="24"/>
        <v>-</v>
      </c>
      <c r="BD43" s="293" t="str">
        <f t="shared" si="25"/>
        <v>-</v>
      </c>
      <c r="BE43" s="293" t="str">
        <f t="shared" si="26"/>
        <v>-</v>
      </c>
      <c r="BF43" s="294" t="str">
        <f t="shared" si="27"/>
        <v>-</v>
      </c>
      <c r="BG43" s="9"/>
      <c r="BH43" s="9"/>
      <c r="BI43" s="9"/>
      <c r="BJ43" s="9"/>
      <c r="BZ43" s="9"/>
      <c r="CA43" s="476"/>
      <c r="CB43" s="515">
        <f>IFERROR(VLOOKUP(CA43,Feed!$B$4:$H$19,2,FALSE)*($BR$10/$BQ$10)+VLOOKUP(CA43,Feed!$B$4:$H$19,3,FALSE)*($BS$10/$BQ$10)+VLOOKUP(CA43,Feed!$B$4:$H$19,4,FALSE)*($BT$10/$BQ$10)+VLOOKUP(CA43,Feed!$B$4:$H$19,5,FALSE)*($BU$10/$BQ$10),0)</f>
        <v>0</v>
      </c>
      <c r="CC43" s="299" t="str">
        <f t="shared" si="40"/>
        <v>-</v>
      </c>
      <c r="CD43" s="299" t="str">
        <f t="shared" si="41"/>
        <v>-</v>
      </c>
      <c r="CE43" s="482"/>
      <c r="CF43" s="299" t="str">
        <f t="shared" si="44"/>
        <v>-</v>
      </c>
      <c r="CG43" s="300">
        <f t="shared" si="42"/>
        <v>0</v>
      </c>
      <c r="CH43" s="301" t="str">
        <f t="shared" si="43"/>
        <v>-</v>
      </c>
      <c r="CI43" s="9"/>
    </row>
    <row r="44" spans="39:87" ht="18.95" customHeight="1" x14ac:dyDescent="0.25">
      <c r="AM44" s="259">
        <v>39</v>
      </c>
      <c r="AN44" s="310" t="str">
        <f t="shared" si="29"/>
        <v>-</v>
      </c>
      <c r="AO44" s="9" t="str">
        <f t="shared" si="16"/>
        <v>-</v>
      </c>
      <c r="AP44" s="289" t="str">
        <f t="shared" si="17"/>
        <v>-</v>
      </c>
      <c r="AQ44" s="9" t="str">
        <f t="shared" si="18"/>
        <v>-</v>
      </c>
      <c r="AR44" s="453"/>
      <c r="AS44" s="453"/>
      <c r="AT44" s="229" t="str">
        <f t="shared" si="19"/>
        <v>-</v>
      </c>
      <c r="AU44" s="290" t="str">
        <f t="shared" si="20"/>
        <v>N/A</v>
      </c>
      <c r="AV44" s="453"/>
      <c r="AW44" s="290" t="str">
        <f t="shared" si="7"/>
        <v>N/A</v>
      </c>
      <c r="AX44" s="453"/>
      <c r="AY44" s="290" t="str">
        <f t="shared" si="21"/>
        <v>N/A</v>
      </c>
      <c r="AZ44" s="453"/>
      <c r="BA44" s="291" t="str">
        <f t="shared" si="22"/>
        <v>N/A</v>
      </c>
      <c r="BB44" s="292" t="str">
        <f t="shared" si="23"/>
        <v>-</v>
      </c>
      <c r="BC44" s="512" t="str">
        <f t="shared" si="24"/>
        <v>-</v>
      </c>
      <c r="BD44" s="293" t="str">
        <f t="shared" si="25"/>
        <v>-</v>
      </c>
      <c r="BE44" s="293" t="str">
        <f t="shared" si="26"/>
        <v>-</v>
      </c>
      <c r="BF44" s="294" t="str">
        <f t="shared" si="27"/>
        <v>-</v>
      </c>
      <c r="BG44" s="9"/>
      <c r="BH44" s="9"/>
      <c r="BI44" s="9"/>
      <c r="BJ44" s="9"/>
      <c r="BZ44" s="9"/>
      <c r="CA44" s="476"/>
      <c r="CB44" s="515">
        <f>IFERROR(VLOOKUP(CA44,Feed!$B$4:$H$19,2,FALSE)*($BR$10/$BQ$10)+VLOOKUP(CA44,Feed!$B$4:$H$19,3,FALSE)*($BS$10/$BQ$10)+VLOOKUP(CA44,Feed!$B$4:$H$19,4,FALSE)*($BT$10/$BQ$10)+VLOOKUP(CA44,Feed!$B$4:$H$19,5,FALSE)*($BU$10/$BQ$10),0)</f>
        <v>0</v>
      </c>
      <c r="CC44" s="299" t="str">
        <f t="shared" si="40"/>
        <v>-</v>
      </c>
      <c r="CD44" s="299" t="str">
        <f t="shared" si="41"/>
        <v>-</v>
      </c>
      <c r="CE44" s="482"/>
      <c r="CF44" s="299" t="str">
        <f t="shared" si="44"/>
        <v>-</v>
      </c>
      <c r="CG44" s="300">
        <f t="shared" si="42"/>
        <v>0</v>
      </c>
      <c r="CH44" s="301" t="str">
        <f t="shared" si="43"/>
        <v>-</v>
      </c>
      <c r="CI44" s="9"/>
    </row>
    <row r="45" spans="39:87" ht="18.95" customHeight="1" x14ac:dyDescent="0.25">
      <c r="AM45" s="259">
        <v>40</v>
      </c>
      <c r="AN45" s="310" t="str">
        <f t="shared" si="29"/>
        <v>-</v>
      </c>
      <c r="AO45" s="9" t="str">
        <f t="shared" si="16"/>
        <v>-</v>
      </c>
      <c r="AP45" s="289" t="str">
        <f t="shared" si="17"/>
        <v>-</v>
      </c>
      <c r="AQ45" s="9" t="str">
        <f t="shared" si="18"/>
        <v>-</v>
      </c>
      <c r="AR45" s="453"/>
      <c r="AS45" s="453"/>
      <c r="AT45" s="229" t="str">
        <f t="shared" si="19"/>
        <v>-</v>
      </c>
      <c r="AU45" s="290" t="str">
        <f t="shared" si="20"/>
        <v>N/A</v>
      </c>
      <c r="AV45" s="453"/>
      <c r="AW45" s="290" t="str">
        <f t="shared" si="7"/>
        <v>N/A</v>
      </c>
      <c r="AX45" s="453"/>
      <c r="AY45" s="290" t="str">
        <f t="shared" si="21"/>
        <v>N/A</v>
      </c>
      <c r="AZ45" s="453"/>
      <c r="BA45" s="291" t="str">
        <f t="shared" si="22"/>
        <v>N/A</v>
      </c>
      <c r="BB45" s="292" t="str">
        <f t="shared" si="23"/>
        <v>-</v>
      </c>
      <c r="BC45" s="512" t="str">
        <f t="shared" si="24"/>
        <v>-</v>
      </c>
      <c r="BD45" s="293" t="str">
        <f t="shared" si="25"/>
        <v>-</v>
      </c>
      <c r="BE45" s="293" t="str">
        <f t="shared" si="26"/>
        <v>-</v>
      </c>
      <c r="BF45" s="294" t="str">
        <f t="shared" si="27"/>
        <v>-</v>
      </c>
      <c r="BG45" s="9"/>
      <c r="BH45" s="9"/>
      <c r="BI45" s="9"/>
      <c r="BJ45" s="9"/>
      <c r="BZ45" s="9"/>
      <c r="CA45" s="338" t="s">
        <v>330</v>
      </c>
      <c r="CB45" s="516">
        <f>'AUM Evaluator'!$S$9*$CB$61</f>
        <v>78.359787947924048</v>
      </c>
      <c r="CC45" s="299">
        <v>1</v>
      </c>
      <c r="CD45" s="340">
        <v>0</v>
      </c>
      <c r="CE45" s="483"/>
      <c r="CF45" s="341" t="str">
        <f t="shared" si="44"/>
        <v>-</v>
      </c>
      <c r="CG45" s="342">
        <f t="shared" si="42"/>
        <v>0</v>
      </c>
      <c r="CH45" s="343">
        <f t="shared" si="43"/>
        <v>78.359787947924048</v>
      </c>
      <c r="CI45" s="9"/>
    </row>
    <row r="46" spans="39:87" ht="18.95" customHeight="1" x14ac:dyDescent="0.25">
      <c r="AM46" s="259">
        <v>41</v>
      </c>
      <c r="AN46" s="310" t="str">
        <f t="shared" si="29"/>
        <v>-</v>
      </c>
      <c r="AO46" s="9" t="str">
        <f t="shared" si="16"/>
        <v>-</v>
      </c>
      <c r="AP46" s="289" t="str">
        <f t="shared" si="17"/>
        <v>-</v>
      </c>
      <c r="AQ46" s="9" t="str">
        <f t="shared" si="18"/>
        <v>-</v>
      </c>
      <c r="AR46" s="453"/>
      <c r="AS46" s="453"/>
      <c r="AT46" s="229" t="str">
        <f t="shared" si="19"/>
        <v>-</v>
      </c>
      <c r="AU46" s="290" t="str">
        <f t="shared" si="20"/>
        <v>N/A</v>
      </c>
      <c r="AV46" s="453"/>
      <c r="AW46" s="290" t="str">
        <f t="shared" si="7"/>
        <v>N/A</v>
      </c>
      <c r="AX46" s="453"/>
      <c r="AY46" s="290" t="str">
        <f t="shared" si="21"/>
        <v>N/A</v>
      </c>
      <c r="AZ46" s="453"/>
      <c r="BA46" s="291" t="str">
        <f t="shared" si="22"/>
        <v>N/A</v>
      </c>
      <c r="BB46" s="292" t="str">
        <f t="shared" si="23"/>
        <v>-</v>
      </c>
      <c r="BC46" s="512" t="str">
        <f t="shared" si="24"/>
        <v>-</v>
      </c>
      <c r="BD46" s="293" t="str">
        <f t="shared" si="25"/>
        <v>-</v>
      </c>
      <c r="BE46" s="293" t="str">
        <f t="shared" si="26"/>
        <v>-</v>
      </c>
      <c r="BF46" s="294" t="str">
        <f t="shared" si="27"/>
        <v>-</v>
      </c>
      <c r="BG46" s="9"/>
      <c r="BH46" s="9"/>
      <c r="BI46" s="9"/>
      <c r="BJ46" s="9"/>
      <c r="BZ46" s="9"/>
      <c r="CA46" s="348"/>
      <c r="CB46" s="349"/>
      <c r="CC46" s="350" t="s">
        <v>58</v>
      </c>
      <c r="CD46" s="351"/>
      <c r="CE46" s="352">
        <f>SUM(CE39:CE45)</f>
        <v>0</v>
      </c>
      <c r="CF46" s="353">
        <f>SUM(CF39:CF45)</f>
        <v>0</v>
      </c>
      <c r="CG46" s="352">
        <f t="shared" si="42"/>
        <v>0</v>
      </c>
      <c r="CH46" s="354"/>
      <c r="CI46" s="9"/>
    </row>
    <row r="47" spans="39:87" ht="18.95" customHeight="1" thickBot="1" x14ac:dyDescent="0.3">
      <c r="AM47" s="259">
        <v>42</v>
      </c>
      <c r="AN47" s="310" t="str">
        <f t="shared" si="29"/>
        <v>-</v>
      </c>
      <c r="AO47" s="9" t="str">
        <f t="shared" si="16"/>
        <v>-</v>
      </c>
      <c r="AP47" s="289" t="str">
        <f t="shared" si="17"/>
        <v>-</v>
      </c>
      <c r="AQ47" s="9" t="str">
        <f t="shared" si="18"/>
        <v>-</v>
      </c>
      <c r="AR47" s="453"/>
      <c r="AS47" s="453"/>
      <c r="AT47" s="229" t="str">
        <f t="shared" si="19"/>
        <v>-</v>
      </c>
      <c r="AU47" s="290" t="str">
        <f t="shared" si="20"/>
        <v>N/A</v>
      </c>
      <c r="AV47" s="453"/>
      <c r="AW47" s="290" t="str">
        <f t="shared" si="7"/>
        <v>N/A</v>
      </c>
      <c r="AX47" s="453"/>
      <c r="AY47" s="290" t="str">
        <f t="shared" si="21"/>
        <v>N/A</v>
      </c>
      <c r="AZ47" s="453"/>
      <c r="BA47" s="291" t="str">
        <f t="shared" si="22"/>
        <v>N/A</v>
      </c>
      <c r="BB47" s="292" t="str">
        <f t="shared" si="23"/>
        <v>-</v>
      </c>
      <c r="BC47" s="512" t="str">
        <f t="shared" si="24"/>
        <v>-</v>
      </c>
      <c r="BD47" s="293" t="str">
        <f t="shared" si="25"/>
        <v>-</v>
      </c>
      <c r="BE47" s="293" t="str">
        <f t="shared" si="26"/>
        <v>-</v>
      </c>
      <c r="BF47" s="294" t="str">
        <f t="shared" si="27"/>
        <v>-</v>
      </c>
      <c r="BG47" s="9"/>
      <c r="BH47" s="9"/>
      <c r="BI47" s="9"/>
      <c r="BJ47" s="9"/>
      <c r="BZ47" s="9"/>
      <c r="CA47" s="363"/>
      <c r="CB47" s="364"/>
      <c r="CC47" s="365"/>
      <c r="CD47" s="366" t="s">
        <v>208</v>
      </c>
      <c r="CE47" s="366"/>
      <c r="CF47" s="367"/>
      <c r="CG47" s="367"/>
      <c r="CH47" s="368">
        <f>SUMPRODUCT(CF39:CF45,CH39:CH45,CC39:CC45)</f>
        <v>0</v>
      </c>
      <c r="CI47" s="9"/>
    </row>
    <row r="48" spans="39:87" ht="18.95" customHeight="1" thickBot="1" x14ac:dyDescent="0.3">
      <c r="AM48" s="259">
        <v>43</v>
      </c>
      <c r="AN48" s="310" t="str">
        <f t="shared" si="29"/>
        <v>-</v>
      </c>
      <c r="AO48" s="9" t="str">
        <f t="shared" si="16"/>
        <v>-</v>
      </c>
      <c r="AP48" s="289" t="str">
        <f t="shared" si="17"/>
        <v>-</v>
      </c>
      <c r="AQ48" s="9" t="str">
        <f t="shared" si="18"/>
        <v>-</v>
      </c>
      <c r="AR48" s="453"/>
      <c r="AS48" s="453"/>
      <c r="AT48" s="229" t="str">
        <f t="shared" si="19"/>
        <v>-</v>
      </c>
      <c r="AU48" s="290" t="str">
        <f t="shared" si="20"/>
        <v>N/A</v>
      </c>
      <c r="AV48" s="453"/>
      <c r="AW48" s="290" t="str">
        <f t="shared" si="7"/>
        <v>N/A</v>
      </c>
      <c r="AX48" s="453"/>
      <c r="AY48" s="290" t="str">
        <f t="shared" si="21"/>
        <v>N/A</v>
      </c>
      <c r="AZ48" s="453"/>
      <c r="BA48" s="291" t="str">
        <f t="shared" si="22"/>
        <v>N/A</v>
      </c>
      <c r="BB48" s="292" t="str">
        <f t="shared" si="23"/>
        <v>-</v>
      </c>
      <c r="BC48" s="512" t="str">
        <f t="shared" si="24"/>
        <v>-</v>
      </c>
      <c r="BD48" s="293" t="str">
        <f t="shared" si="25"/>
        <v>-</v>
      </c>
      <c r="BE48" s="293" t="str">
        <f t="shared" si="26"/>
        <v>-</v>
      </c>
      <c r="BF48" s="294" t="str">
        <f t="shared" si="27"/>
        <v>-</v>
      </c>
      <c r="BG48" s="9"/>
      <c r="BH48" s="9"/>
      <c r="BI48" s="9"/>
      <c r="BJ48" s="9"/>
      <c r="BZ48" s="9"/>
      <c r="CA48" s="9"/>
      <c r="CB48" s="9"/>
      <c r="CC48" s="9"/>
      <c r="CD48" s="9"/>
      <c r="CE48" s="9"/>
      <c r="CF48" s="9"/>
      <c r="CG48" s="9"/>
      <c r="CH48" s="9"/>
      <c r="CI48" s="9"/>
    </row>
    <row r="49" spans="39:87" ht="36" customHeight="1" x14ac:dyDescent="0.25">
      <c r="AM49" s="259">
        <v>44</v>
      </c>
      <c r="AN49" s="310" t="str">
        <f t="shared" si="29"/>
        <v>-</v>
      </c>
      <c r="AO49" s="9" t="str">
        <f t="shared" si="16"/>
        <v>-</v>
      </c>
      <c r="AP49" s="289" t="str">
        <f t="shared" si="17"/>
        <v>-</v>
      </c>
      <c r="AQ49" s="9" t="str">
        <f t="shared" si="18"/>
        <v>-</v>
      </c>
      <c r="AR49" s="453"/>
      <c r="AS49" s="453"/>
      <c r="AT49" s="229" t="str">
        <f t="shared" si="19"/>
        <v>-</v>
      </c>
      <c r="AU49" s="290" t="str">
        <f t="shared" si="20"/>
        <v>N/A</v>
      </c>
      <c r="AV49" s="453"/>
      <c r="AW49" s="290" t="str">
        <f t="shared" si="7"/>
        <v>N/A</v>
      </c>
      <c r="AX49" s="453"/>
      <c r="AY49" s="290" t="str">
        <f t="shared" si="21"/>
        <v>N/A</v>
      </c>
      <c r="AZ49" s="453"/>
      <c r="BA49" s="291" t="str">
        <f t="shared" si="22"/>
        <v>N/A</v>
      </c>
      <c r="BB49" s="292" t="str">
        <f t="shared" si="23"/>
        <v>-</v>
      </c>
      <c r="BC49" s="512" t="str">
        <f t="shared" si="24"/>
        <v>-</v>
      </c>
      <c r="BD49" s="293" t="str">
        <f t="shared" si="25"/>
        <v>-</v>
      </c>
      <c r="BE49" s="293" t="str">
        <f t="shared" si="26"/>
        <v>-</v>
      </c>
      <c r="BF49" s="294" t="str">
        <f t="shared" si="27"/>
        <v>-</v>
      </c>
      <c r="BG49" s="9"/>
      <c r="BH49" s="9"/>
      <c r="BI49" s="9"/>
      <c r="BJ49" s="9"/>
      <c r="BZ49" s="9"/>
      <c r="CA49" s="273" t="str">
        <f>IF(BN11=BN17,"-",BN11)</f>
        <v>-</v>
      </c>
      <c r="CB49" s="54" t="s">
        <v>328</v>
      </c>
      <c r="CC49" s="54" t="s">
        <v>205</v>
      </c>
      <c r="CD49" s="54" t="s">
        <v>95</v>
      </c>
      <c r="CE49" s="54" t="s">
        <v>326</v>
      </c>
      <c r="CF49" s="54" t="s">
        <v>206</v>
      </c>
      <c r="CG49" s="54" t="s">
        <v>234</v>
      </c>
      <c r="CH49" s="274" t="s">
        <v>209</v>
      </c>
      <c r="CI49" s="9"/>
    </row>
    <row r="50" spans="39:87" ht="18.95" customHeight="1" x14ac:dyDescent="0.25">
      <c r="AM50" s="259">
        <v>45</v>
      </c>
      <c r="AN50" s="310" t="str">
        <f t="shared" si="29"/>
        <v>-</v>
      </c>
      <c r="AO50" s="9" t="str">
        <f t="shared" si="16"/>
        <v>-</v>
      </c>
      <c r="AP50" s="289" t="str">
        <f t="shared" si="17"/>
        <v>-</v>
      </c>
      <c r="AQ50" s="9" t="str">
        <f t="shared" si="18"/>
        <v>-</v>
      </c>
      <c r="AR50" s="453"/>
      <c r="AS50" s="453"/>
      <c r="AT50" s="229" t="str">
        <f t="shared" si="19"/>
        <v>-</v>
      </c>
      <c r="AU50" s="290" t="str">
        <f t="shared" si="20"/>
        <v>N/A</v>
      </c>
      <c r="AV50" s="453"/>
      <c r="AW50" s="290" t="str">
        <f t="shared" si="7"/>
        <v>N/A</v>
      </c>
      <c r="AX50" s="453"/>
      <c r="AY50" s="290" t="str">
        <f t="shared" si="21"/>
        <v>N/A</v>
      </c>
      <c r="AZ50" s="453"/>
      <c r="BA50" s="291" t="str">
        <f t="shared" si="22"/>
        <v>N/A</v>
      </c>
      <c r="BB50" s="292" t="str">
        <f t="shared" si="23"/>
        <v>-</v>
      </c>
      <c r="BC50" s="512" t="str">
        <f t="shared" si="24"/>
        <v>-</v>
      </c>
      <c r="BD50" s="293" t="str">
        <f t="shared" si="25"/>
        <v>-</v>
      </c>
      <c r="BE50" s="293" t="str">
        <f t="shared" si="26"/>
        <v>-</v>
      </c>
      <c r="BF50" s="294" t="str">
        <f t="shared" si="27"/>
        <v>-</v>
      </c>
      <c r="BG50" s="9"/>
      <c r="BH50" s="9"/>
      <c r="BI50" s="9"/>
      <c r="BJ50" s="9"/>
      <c r="BZ50" s="9"/>
      <c r="CA50" s="476"/>
      <c r="CB50" s="515">
        <f>IFERROR(VLOOKUP(CA50,Feed!$B$4:$H$19,2,FALSE)*($BR$11/$BQ$11)+VLOOKUP(CA50,Feed!$B$4:$H$19,3,FALSE)*($BS$11/$BQ$11)+VLOOKUP(CA50,Feed!$B$4:$H$19,4,FALSE)*($BT$11/$BQ$11)+VLOOKUP(CA50,Feed!$B$4:$H$19,5,FALSE)*($BU$11/$BQ$11),0)</f>
        <v>0</v>
      </c>
      <c r="CC50" s="299" t="str">
        <f t="shared" ref="CC50:CC55" si="45">IFERROR(VLOOKUP($CA50,FeedIngLst,6,FALSE),"-")</f>
        <v>-</v>
      </c>
      <c r="CD50" s="299" t="str">
        <f t="shared" ref="CD50:CD55" si="46">IFERROR(VLOOKUP($CA50,FeedIngLst,7,FALSE),"-")</f>
        <v>-</v>
      </c>
      <c r="CE50" s="482"/>
      <c r="CF50" s="299" t="str">
        <f>IFERROR(CE50/$CE$57,"-")</f>
        <v>-</v>
      </c>
      <c r="CG50" s="300">
        <f t="shared" ref="CG50:CG57" si="47">CE50*$R$15*$BQ$11/2000</f>
        <v>0</v>
      </c>
      <c r="CH50" s="301" t="str">
        <f t="shared" ref="CH50:CH56" si="48">IFERROR($CB50/$CC50/(1-$CD50),"-")</f>
        <v>-</v>
      </c>
      <c r="CI50" s="9"/>
    </row>
    <row r="51" spans="39:87" ht="18.95" customHeight="1" x14ac:dyDescent="0.25">
      <c r="AM51" s="259">
        <v>46</v>
      </c>
      <c r="AN51" s="310" t="str">
        <f t="shared" si="29"/>
        <v>-</v>
      </c>
      <c r="AO51" s="9" t="str">
        <f t="shared" si="16"/>
        <v>-</v>
      </c>
      <c r="AP51" s="289" t="str">
        <f t="shared" si="17"/>
        <v>-</v>
      </c>
      <c r="AQ51" s="9" t="str">
        <f t="shared" si="18"/>
        <v>-</v>
      </c>
      <c r="AR51" s="453"/>
      <c r="AS51" s="453"/>
      <c r="AT51" s="229" t="str">
        <f t="shared" si="19"/>
        <v>-</v>
      </c>
      <c r="AU51" s="290" t="str">
        <f t="shared" si="20"/>
        <v>N/A</v>
      </c>
      <c r="AV51" s="453"/>
      <c r="AW51" s="290" t="str">
        <f t="shared" si="7"/>
        <v>N/A</v>
      </c>
      <c r="AX51" s="453"/>
      <c r="AY51" s="290" t="str">
        <f t="shared" si="21"/>
        <v>N/A</v>
      </c>
      <c r="AZ51" s="453"/>
      <c r="BA51" s="291" t="str">
        <f t="shared" si="22"/>
        <v>N/A</v>
      </c>
      <c r="BB51" s="292" t="str">
        <f t="shared" si="23"/>
        <v>-</v>
      </c>
      <c r="BC51" s="512" t="str">
        <f t="shared" si="24"/>
        <v>-</v>
      </c>
      <c r="BD51" s="293" t="str">
        <f t="shared" si="25"/>
        <v>-</v>
      </c>
      <c r="BE51" s="293" t="str">
        <f t="shared" si="26"/>
        <v>-</v>
      </c>
      <c r="BF51" s="294" t="str">
        <f t="shared" si="27"/>
        <v>-</v>
      </c>
      <c r="BG51" s="9"/>
      <c r="BH51" s="9"/>
      <c r="BI51" s="9"/>
      <c r="BJ51" s="9"/>
      <c r="BZ51" s="9"/>
      <c r="CA51" s="476"/>
      <c r="CB51" s="515">
        <f>IFERROR(VLOOKUP(CA51,Feed!$B$4:$H$19,2,FALSE)*($BR$11/$BQ$11)+VLOOKUP(CA51,Feed!$B$4:$H$19,3,FALSE)*($BS$11/$BQ$11)+VLOOKUP(CA51,Feed!$B$4:$H$19,4,FALSE)*($BT$11/$BQ$11)+VLOOKUP(CA51,Feed!$B$4:$H$19,5,FALSE)*($BU$11/$BQ$11),0)</f>
        <v>0</v>
      </c>
      <c r="CC51" s="299" t="str">
        <f t="shared" si="45"/>
        <v>-</v>
      </c>
      <c r="CD51" s="299" t="str">
        <f t="shared" si="46"/>
        <v>-</v>
      </c>
      <c r="CE51" s="482"/>
      <c r="CF51" s="299" t="str">
        <f t="shared" ref="CF51:CF56" si="49">IFERROR(CE51/$CE$57,"-")</f>
        <v>-</v>
      </c>
      <c r="CG51" s="300">
        <f t="shared" si="47"/>
        <v>0</v>
      </c>
      <c r="CH51" s="301" t="str">
        <f t="shared" si="48"/>
        <v>-</v>
      </c>
      <c r="CI51" s="9"/>
    </row>
    <row r="52" spans="39:87" ht="18.95" customHeight="1" x14ac:dyDescent="0.25">
      <c r="AM52" s="259">
        <v>47</v>
      </c>
      <c r="AN52" s="310" t="str">
        <f t="shared" si="29"/>
        <v>-</v>
      </c>
      <c r="AO52" s="9" t="str">
        <f t="shared" si="16"/>
        <v>-</v>
      </c>
      <c r="AP52" s="289" t="str">
        <f t="shared" si="17"/>
        <v>-</v>
      </c>
      <c r="AQ52" s="9" t="str">
        <f t="shared" si="18"/>
        <v>-</v>
      </c>
      <c r="AR52" s="453"/>
      <c r="AS52" s="453"/>
      <c r="AT52" s="229" t="str">
        <f t="shared" si="19"/>
        <v>-</v>
      </c>
      <c r="AU52" s="290" t="str">
        <f t="shared" si="20"/>
        <v>N/A</v>
      </c>
      <c r="AV52" s="453"/>
      <c r="AW52" s="290" t="str">
        <f t="shared" si="7"/>
        <v>N/A</v>
      </c>
      <c r="AX52" s="453"/>
      <c r="AY52" s="290" t="str">
        <f t="shared" si="21"/>
        <v>N/A</v>
      </c>
      <c r="AZ52" s="453"/>
      <c r="BA52" s="291" t="str">
        <f t="shared" si="22"/>
        <v>N/A</v>
      </c>
      <c r="BB52" s="292" t="str">
        <f t="shared" si="23"/>
        <v>-</v>
      </c>
      <c r="BC52" s="512" t="str">
        <f t="shared" si="24"/>
        <v>-</v>
      </c>
      <c r="BD52" s="293" t="str">
        <f t="shared" si="25"/>
        <v>-</v>
      </c>
      <c r="BE52" s="293" t="str">
        <f t="shared" si="26"/>
        <v>-</v>
      </c>
      <c r="BF52" s="294" t="str">
        <f t="shared" si="27"/>
        <v>-</v>
      </c>
      <c r="BG52" s="9"/>
      <c r="BH52" s="9"/>
      <c r="BI52" s="9"/>
      <c r="BJ52" s="9"/>
      <c r="BZ52" s="9"/>
      <c r="CA52" s="476"/>
      <c r="CB52" s="515">
        <f>IFERROR(VLOOKUP(CA52,Feed!$B$4:$H$19,2,FALSE)*($BR$11/$BQ$11)+VLOOKUP(CA52,Feed!$B$4:$H$19,3,FALSE)*($BS$11/$BQ$11)+VLOOKUP(CA52,Feed!$B$4:$H$19,4,FALSE)*($BT$11/$BQ$11)+VLOOKUP(CA52,Feed!$B$4:$H$19,5,FALSE)*($BU$11/$BQ$11),0)</f>
        <v>0</v>
      </c>
      <c r="CC52" s="299" t="str">
        <f t="shared" si="45"/>
        <v>-</v>
      </c>
      <c r="CD52" s="299" t="str">
        <f t="shared" si="46"/>
        <v>-</v>
      </c>
      <c r="CE52" s="482"/>
      <c r="CF52" s="299" t="str">
        <f t="shared" si="49"/>
        <v>-</v>
      </c>
      <c r="CG52" s="300">
        <f t="shared" si="47"/>
        <v>0</v>
      </c>
      <c r="CH52" s="301" t="str">
        <f t="shared" si="48"/>
        <v>-</v>
      </c>
      <c r="CI52" s="9"/>
    </row>
    <row r="53" spans="39:87" ht="18.95" customHeight="1" x14ac:dyDescent="0.25">
      <c r="AM53" s="259">
        <v>48</v>
      </c>
      <c r="AN53" s="310" t="str">
        <f t="shared" si="29"/>
        <v>-</v>
      </c>
      <c r="AO53" s="9" t="str">
        <f t="shared" si="16"/>
        <v>-</v>
      </c>
      <c r="AP53" s="289" t="str">
        <f t="shared" si="17"/>
        <v>-</v>
      </c>
      <c r="AQ53" s="9" t="str">
        <f t="shared" si="18"/>
        <v>-</v>
      </c>
      <c r="AR53" s="453"/>
      <c r="AS53" s="453"/>
      <c r="AT53" s="229" t="str">
        <f t="shared" si="19"/>
        <v>-</v>
      </c>
      <c r="AU53" s="290" t="str">
        <f t="shared" si="20"/>
        <v>N/A</v>
      </c>
      <c r="AV53" s="453"/>
      <c r="AW53" s="290" t="str">
        <f t="shared" si="7"/>
        <v>N/A</v>
      </c>
      <c r="AX53" s="453"/>
      <c r="AY53" s="290" t="str">
        <f t="shared" si="21"/>
        <v>N/A</v>
      </c>
      <c r="AZ53" s="453"/>
      <c r="BA53" s="291" t="str">
        <f t="shared" si="22"/>
        <v>N/A</v>
      </c>
      <c r="BB53" s="292" t="str">
        <f t="shared" si="23"/>
        <v>-</v>
      </c>
      <c r="BC53" s="512" t="str">
        <f t="shared" si="24"/>
        <v>-</v>
      </c>
      <c r="BD53" s="293" t="str">
        <f t="shared" si="25"/>
        <v>-</v>
      </c>
      <c r="BE53" s="293" t="str">
        <f t="shared" si="26"/>
        <v>-</v>
      </c>
      <c r="BF53" s="294" t="str">
        <f t="shared" si="27"/>
        <v>-</v>
      </c>
      <c r="BG53" s="9"/>
      <c r="BH53" s="9"/>
      <c r="BI53" s="9"/>
      <c r="BJ53" s="9"/>
      <c r="BZ53" s="9"/>
      <c r="CA53" s="476"/>
      <c r="CB53" s="515">
        <f>IFERROR(VLOOKUP(CA53,Feed!$B$4:$H$19,2,FALSE)*($BR$11/$BQ$11)+VLOOKUP(CA53,Feed!$B$4:$H$19,3,FALSE)*($BS$11/$BQ$11)+VLOOKUP(CA53,Feed!$B$4:$H$19,4,FALSE)*($BT$11/$BQ$11)+VLOOKUP(CA53,Feed!$B$4:$H$19,5,FALSE)*($BU$11/$BQ$11),0)</f>
        <v>0</v>
      </c>
      <c r="CC53" s="299" t="str">
        <f t="shared" si="45"/>
        <v>-</v>
      </c>
      <c r="CD53" s="299" t="str">
        <f t="shared" si="46"/>
        <v>-</v>
      </c>
      <c r="CE53" s="482"/>
      <c r="CF53" s="299" t="str">
        <f t="shared" si="49"/>
        <v>-</v>
      </c>
      <c r="CG53" s="300">
        <f t="shared" si="47"/>
        <v>0</v>
      </c>
      <c r="CH53" s="301" t="str">
        <f t="shared" si="48"/>
        <v>-</v>
      </c>
      <c r="CI53" s="9"/>
    </row>
    <row r="54" spans="39:87" ht="18.95" customHeight="1" x14ac:dyDescent="0.25">
      <c r="AM54" s="259">
        <v>49</v>
      </c>
      <c r="AN54" s="310" t="str">
        <f t="shared" si="29"/>
        <v>-</v>
      </c>
      <c r="AO54" s="9" t="str">
        <f t="shared" si="16"/>
        <v>-</v>
      </c>
      <c r="AP54" s="289" t="str">
        <f t="shared" si="17"/>
        <v>-</v>
      </c>
      <c r="AQ54" s="9" t="str">
        <f t="shared" si="18"/>
        <v>-</v>
      </c>
      <c r="AR54" s="453"/>
      <c r="AS54" s="453"/>
      <c r="AT54" s="229" t="str">
        <f t="shared" si="19"/>
        <v>-</v>
      </c>
      <c r="AU54" s="290" t="str">
        <f t="shared" si="20"/>
        <v>N/A</v>
      </c>
      <c r="AV54" s="453"/>
      <c r="AW54" s="290" t="str">
        <f t="shared" si="7"/>
        <v>N/A</v>
      </c>
      <c r="AX54" s="453"/>
      <c r="AY54" s="290" t="str">
        <f t="shared" si="21"/>
        <v>N/A</v>
      </c>
      <c r="AZ54" s="453"/>
      <c r="BA54" s="291" t="str">
        <f t="shared" si="22"/>
        <v>N/A</v>
      </c>
      <c r="BB54" s="292" t="str">
        <f t="shared" si="23"/>
        <v>-</v>
      </c>
      <c r="BC54" s="512" t="str">
        <f t="shared" si="24"/>
        <v>-</v>
      </c>
      <c r="BD54" s="293" t="str">
        <f t="shared" si="25"/>
        <v>-</v>
      </c>
      <c r="BE54" s="293" t="str">
        <f t="shared" si="26"/>
        <v>-</v>
      </c>
      <c r="BF54" s="294" t="str">
        <f t="shared" si="27"/>
        <v>-</v>
      </c>
      <c r="BG54" s="9"/>
      <c r="BH54" s="9"/>
      <c r="BI54" s="9"/>
      <c r="BJ54" s="9"/>
      <c r="BZ54" s="9"/>
      <c r="CA54" s="476"/>
      <c r="CB54" s="515">
        <f>IFERROR(VLOOKUP(CA54,Feed!$B$4:$H$19,2,FALSE)*($BR$11/$BQ$11)+VLOOKUP(CA54,Feed!$B$4:$H$19,3,FALSE)*($BS$11/$BQ$11)+VLOOKUP(CA54,Feed!$B$4:$H$19,4,FALSE)*($BT$11/$BQ$11)+VLOOKUP(CA54,Feed!$B$4:$H$19,5,FALSE)*($BU$11/$BQ$11),0)</f>
        <v>0</v>
      </c>
      <c r="CC54" s="299" t="str">
        <f t="shared" si="45"/>
        <v>-</v>
      </c>
      <c r="CD54" s="299" t="str">
        <f t="shared" si="46"/>
        <v>-</v>
      </c>
      <c r="CE54" s="482"/>
      <c r="CF54" s="299" t="str">
        <f t="shared" si="49"/>
        <v>-</v>
      </c>
      <c r="CG54" s="300">
        <f t="shared" si="47"/>
        <v>0</v>
      </c>
      <c r="CH54" s="301" t="str">
        <f t="shared" si="48"/>
        <v>-</v>
      </c>
      <c r="CI54" s="9"/>
    </row>
    <row r="55" spans="39:87" ht="18.95" customHeight="1" thickBot="1" x14ac:dyDescent="0.3">
      <c r="AM55" s="259">
        <v>50</v>
      </c>
      <c r="AN55" s="384" t="str">
        <f t="shared" si="29"/>
        <v>-</v>
      </c>
      <c r="AO55" s="385" t="str">
        <f t="shared" si="16"/>
        <v>-</v>
      </c>
      <c r="AP55" s="401" t="str">
        <f t="shared" si="17"/>
        <v>-</v>
      </c>
      <c r="AQ55" s="385" t="str">
        <f t="shared" si="18"/>
        <v>-</v>
      </c>
      <c r="AR55" s="454"/>
      <c r="AS55" s="455"/>
      <c r="AT55" s="402" t="str">
        <f t="shared" si="19"/>
        <v>-</v>
      </c>
      <c r="AU55" s="403" t="str">
        <f t="shared" si="20"/>
        <v>N/A</v>
      </c>
      <c r="AV55" s="455"/>
      <c r="AW55" s="403" t="str">
        <f t="shared" si="7"/>
        <v>N/A</v>
      </c>
      <c r="AX55" s="455"/>
      <c r="AY55" s="403" t="str">
        <f t="shared" si="21"/>
        <v>N/A</v>
      </c>
      <c r="AZ55" s="455"/>
      <c r="BA55" s="404" t="str">
        <f t="shared" si="22"/>
        <v>N/A</v>
      </c>
      <c r="BB55" s="405" t="str">
        <f t="shared" si="23"/>
        <v>-</v>
      </c>
      <c r="BC55" s="513" t="str">
        <f t="shared" si="24"/>
        <v>-</v>
      </c>
      <c r="BD55" s="406" t="str">
        <f t="shared" si="25"/>
        <v>-</v>
      </c>
      <c r="BE55" s="406" t="str">
        <f t="shared" si="26"/>
        <v>-</v>
      </c>
      <c r="BF55" s="407" t="str">
        <f t="shared" si="27"/>
        <v>-</v>
      </c>
      <c r="BG55" s="9"/>
      <c r="BH55" s="9"/>
      <c r="BI55" s="9"/>
      <c r="BJ55" s="9"/>
      <c r="BZ55" s="9"/>
      <c r="CA55" s="476"/>
      <c r="CB55" s="515">
        <f>IFERROR(VLOOKUP(CA55,Feed!$B$4:$H$19,2,FALSE)*($BR$11/$BQ$11)+VLOOKUP(CA55,Feed!$B$4:$H$19,3,FALSE)*($BS$11/$BQ$11)+VLOOKUP(CA55,Feed!$B$4:$H$19,4,FALSE)*($BT$11/$BQ$11)+VLOOKUP(CA55,Feed!$B$4:$H$19,5,FALSE)*($BU$11/$BQ$11),0)</f>
        <v>0</v>
      </c>
      <c r="CC55" s="299" t="str">
        <f t="shared" si="45"/>
        <v>-</v>
      </c>
      <c r="CD55" s="299" t="str">
        <f t="shared" si="46"/>
        <v>-</v>
      </c>
      <c r="CE55" s="482"/>
      <c r="CF55" s="299" t="str">
        <f t="shared" si="49"/>
        <v>-</v>
      </c>
      <c r="CG55" s="300">
        <f t="shared" si="47"/>
        <v>0</v>
      </c>
      <c r="CH55" s="301" t="str">
        <f t="shared" si="48"/>
        <v>-</v>
      </c>
      <c r="CI55" s="9"/>
    </row>
    <row r="56" spans="39:87" ht="18.95" customHeight="1" thickBot="1" x14ac:dyDescent="0.3">
      <c r="AM56" s="9"/>
      <c r="AN56" s="628" t="s">
        <v>138</v>
      </c>
      <c r="AO56" s="629"/>
      <c r="AP56" s="629"/>
      <c r="AQ56" s="629"/>
      <c r="AR56" s="408">
        <f>IFERROR(AVERAGE(AR6:AR55),)</f>
        <v>0</v>
      </c>
      <c r="AS56" s="408">
        <f>IFERROR(AVERAGE(AS6:AS55),)</f>
        <v>0</v>
      </c>
      <c r="AT56" s="408"/>
      <c r="AU56" s="408" t="str">
        <f>IFERROR(AVERAGE(AU6:AU55),"No weights entered")</f>
        <v>No weights entered</v>
      </c>
      <c r="AV56" s="408">
        <f>IFERROR(AVERAGE(AV6:AV55),)</f>
        <v>0</v>
      </c>
      <c r="AW56" s="408" t="str">
        <f>IFERROR(AVERAGE(AW6:AW55),"No weights entered")</f>
        <v>No weights entered</v>
      </c>
      <c r="AX56" s="408">
        <f>IFERROR(AVERAGE(AX6:AX55),)</f>
        <v>0</v>
      </c>
      <c r="AY56" s="408" t="str">
        <f>IFERROR(AVERAGE(AY6:AY55),"No weights entered")</f>
        <v>No weights entered</v>
      </c>
      <c r="AZ56" s="408">
        <f>IFERROR(AVERAGE(AZ6:AZ55),)</f>
        <v>0</v>
      </c>
      <c r="BA56" s="408" t="str">
        <f>IFERROR(AVERAGE(BA6:BA55),"No weights entered")</f>
        <v>No weights entered</v>
      </c>
      <c r="BB56" s="409" t="str">
        <f>IFERROR(AVERAGE(BB6:BB55),"-")</f>
        <v>-</v>
      </c>
      <c r="BC56" s="408"/>
      <c r="BD56" s="408" t="str">
        <f>IFERROR(AVERAGE(BD6:BD55),"-")</f>
        <v>-</v>
      </c>
      <c r="BE56" s="408" t="str">
        <f>IFERROR(AVERAGE(BE6:BE55),"-")</f>
        <v>-</v>
      </c>
      <c r="BF56" s="410" t="str">
        <f>IFERROR(AVERAGE(BF6:BF55),"-")</f>
        <v>-</v>
      </c>
      <c r="BG56" s="9"/>
      <c r="BH56" s="9"/>
      <c r="BI56" s="9"/>
      <c r="BJ56" s="9"/>
      <c r="BZ56" s="9"/>
      <c r="CA56" s="338" t="s">
        <v>330</v>
      </c>
      <c r="CB56" s="516">
        <f>'AUM Evaluator'!$S$9*$CB$61</f>
        <v>78.359787947924048</v>
      </c>
      <c r="CC56" s="299">
        <v>1</v>
      </c>
      <c r="CD56" s="340">
        <v>0</v>
      </c>
      <c r="CE56" s="483"/>
      <c r="CF56" s="341" t="str">
        <f t="shared" si="49"/>
        <v>-</v>
      </c>
      <c r="CG56" s="342">
        <f t="shared" si="47"/>
        <v>0</v>
      </c>
      <c r="CH56" s="343">
        <f t="shared" si="48"/>
        <v>78.359787947924048</v>
      </c>
      <c r="CI56" s="9"/>
    </row>
    <row r="57" spans="39:87" ht="18.95" customHeight="1" x14ac:dyDescent="0.25">
      <c r="AM57" s="9"/>
      <c r="AN57" s="9"/>
      <c r="AO57" s="9"/>
      <c r="AP57" s="9"/>
      <c r="AQ57" s="9"/>
      <c r="AR57" s="259" t="s">
        <v>244</v>
      </c>
      <c r="AS57" s="259">
        <f>COUNTIF(AS6:AS55,$BH$13)</f>
        <v>0</v>
      </c>
      <c r="AT57" s="259"/>
      <c r="AU57" s="259"/>
      <c r="AV57" s="259">
        <f>COUNTIF(AV6:AV55,$BH$13)</f>
        <v>0</v>
      </c>
      <c r="AW57" s="259"/>
      <c r="AX57" s="259">
        <f>COUNTIF(AX6:AX55,$BH$13)</f>
        <v>0</v>
      </c>
      <c r="AY57" s="259"/>
      <c r="AZ57" s="259">
        <f>COUNTIF(AZ6:AZ55,$BH$13)</f>
        <v>0</v>
      </c>
      <c r="BA57" s="521"/>
      <c r="BB57" s="9"/>
      <c r="BC57" s="514"/>
      <c r="BD57" s="9"/>
      <c r="BE57" s="9"/>
      <c r="BF57" s="9"/>
      <c r="BG57" s="9"/>
      <c r="BH57" s="9"/>
      <c r="BI57" s="9"/>
      <c r="BJ57" s="9"/>
      <c r="BZ57" s="9"/>
      <c r="CA57" s="348"/>
      <c r="CB57" s="349"/>
      <c r="CC57" s="350" t="s">
        <v>58</v>
      </c>
      <c r="CD57" s="351"/>
      <c r="CE57" s="352">
        <f>SUM(CE50:CE56)</f>
        <v>0</v>
      </c>
      <c r="CF57" s="353">
        <f>SUM(CF50:CF56)</f>
        <v>0</v>
      </c>
      <c r="CG57" s="352">
        <f t="shared" si="47"/>
        <v>0</v>
      </c>
      <c r="CH57" s="354"/>
      <c r="CI57" s="9"/>
    </row>
    <row r="58" spans="39:87" ht="18.95" customHeight="1" thickBot="1" x14ac:dyDescent="0.3">
      <c r="AM58" s="9"/>
      <c r="AN58" s="9"/>
      <c r="AO58" s="9"/>
      <c r="AP58" s="9"/>
      <c r="AQ58" s="9"/>
      <c r="AR58" s="259" t="s">
        <v>303</v>
      </c>
      <c r="AS58" s="259">
        <f>COUNTIF(AS6:AS55,$BH$14)</f>
        <v>0</v>
      </c>
      <c r="AT58" s="259"/>
      <c r="AU58" s="259"/>
      <c r="AV58" s="259">
        <f>COUNTIF(AV6:AV55,$BH$14)</f>
        <v>0</v>
      </c>
      <c r="AW58" s="259"/>
      <c r="AX58" s="259">
        <f>COUNTIF(AX6:AX55,$BH$14)</f>
        <v>0</v>
      </c>
      <c r="AY58" s="259"/>
      <c r="AZ58" s="259">
        <f>COUNTIF(AZ6:AZ55,$BH$14)</f>
        <v>0</v>
      </c>
      <c r="BA58" s="521"/>
      <c r="BB58" s="9"/>
      <c r="BC58" s="514"/>
      <c r="BD58" s="9"/>
      <c r="BE58" s="9"/>
      <c r="BF58" s="9"/>
      <c r="BG58" s="9"/>
      <c r="BH58" s="9"/>
      <c r="BI58" s="9"/>
      <c r="BJ58" s="9"/>
      <c r="BZ58" s="9"/>
      <c r="CA58" s="363"/>
      <c r="CB58" s="364"/>
      <c r="CC58" s="365"/>
      <c r="CD58" s="366" t="s">
        <v>208</v>
      </c>
      <c r="CE58" s="366"/>
      <c r="CF58" s="367">
        <f>SUM(CF51:CF57)</f>
        <v>0</v>
      </c>
      <c r="CG58" s="367"/>
      <c r="CH58" s="368">
        <f>SUMPRODUCT(CF50:CF56,CH50:CH56,CC50:CC56)</f>
        <v>0</v>
      </c>
      <c r="CI58" s="9"/>
    </row>
    <row r="59" spans="39:87" ht="18.95" customHeight="1" x14ac:dyDescent="0.25">
      <c r="AM59" s="9"/>
      <c r="AN59" s="9"/>
      <c r="AO59" s="9"/>
      <c r="AP59" s="9"/>
      <c r="AQ59" s="9"/>
      <c r="AR59" s="9"/>
      <c r="AS59" s="521"/>
      <c r="AT59" s="521"/>
      <c r="AU59" s="521"/>
      <c r="AV59" s="521"/>
      <c r="AW59" s="521"/>
      <c r="AX59" s="521"/>
      <c r="AY59" s="521"/>
      <c r="AZ59" s="521"/>
      <c r="BA59" s="521"/>
      <c r="BB59" s="9"/>
      <c r="BC59" s="514"/>
      <c r="BD59" s="9"/>
      <c r="BE59" s="9"/>
      <c r="BF59" s="9"/>
      <c r="BG59" s="9"/>
      <c r="BH59" s="9"/>
      <c r="BI59" s="9"/>
      <c r="BJ59" s="9"/>
      <c r="BZ59" s="9"/>
      <c r="CA59" s="9"/>
      <c r="CB59" s="9"/>
      <c r="CC59" s="9"/>
      <c r="CD59" s="9"/>
      <c r="CE59" s="9"/>
      <c r="CF59" s="9"/>
      <c r="CG59" s="9"/>
      <c r="CH59" s="9"/>
      <c r="CI59" s="9"/>
    </row>
    <row r="60" spans="39:87" ht="18.95" customHeight="1" x14ac:dyDescent="0.25">
      <c r="AP60" s="216" t="s">
        <v>251</v>
      </c>
      <c r="AS60" s="411">
        <f>(AZ56+AR56)/2</f>
        <v>0</v>
      </c>
      <c r="AT60" s="411"/>
      <c r="BZ60" s="9"/>
      <c r="CA60" s="259" t="s">
        <v>210</v>
      </c>
      <c r="CB60" s="259">
        <v>780</v>
      </c>
      <c r="CC60" s="259" t="s">
        <v>171</v>
      </c>
      <c r="CD60" s="9"/>
      <c r="CE60" s="9"/>
      <c r="CF60" s="9"/>
      <c r="CG60" s="9"/>
      <c r="CH60" s="9"/>
      <c r="CI60" s="9"/>
    </row>
    <row r="61" spans="39:87" ht="18.95" customHeight="1" x14ac:dyDescent="0.25">
      <c r="BZ61" s="9"/>
      <c r="CA61" s="259" t="s">
        <v>211</v>
      </c>
      <c r="CB61" s="412">
        <f>2000/CB60</f>
        <v>2.5641025641025643</v>
      </c>
      <c r="CC61" s="259"/>
      <c r="CD61" s="9"/>
      <c r="CE61" s="9"/>
      <c r="CF61" s="9"/>
      <c r="CG61" s="9"/>
      <c r="CH61" s="9"/>
      <c r="CI61" s="9"/>
    </row>
    <row r="98" spans="40:43" ht="18.95" customHeight="1" x14ac:dyDescent="0.25">
      <c r="AN98" s="630" t="s">
        <v>190</v>
      </c>
      <c r="AO98" s="631"/>
      <c r="AP98" s="631"/>
      <c r="AQ98" s="632"/>
    </row>
    <row r="99" spans="40:43" ht="18.95" customHeight="1" x14ac:dyDescent="0.25">
      <c r="AN99" s="413"/>
      <c r="AO99" s="633" t="s">
        <v>110</v>
      </c>
      <c r="AP99" s="633"/>
      <c r="AQ99" s="414" t="s">
        <v>111</v>
      </c>
    </row>
    <row r="100" spans="40:43" ht="18.95" customHeight="1" x14ac:dyDescent="0.25">
      <c r="AN100" s="415" t="s">
        <v>191</v>
      </c>
      <c r="AO100" s="416"/>
      <c r="AP100" s="416"/>
      <c r="AQ100" s="417"/>
    </row>
    <row r="101" spans="40:43" ht="18.95" customHeight="1" x14ac:dyDescent="0.25">
      <c r="AN101" s="415"/>
      <c r="AO101" s="416" t="s">
        <v>112</v>
      </c>
      <c r="AP101" s="416"/>
      <c r="AQ101" s="418">
        <v>1.32</v>
      </c>
    </row>
    <row r="102" spans="40:43" ht="18.95" customHeight="1" x14ac:dyDescent="0.25">
      <c r="AN102" s="415"/>
      <c r="AO102" s="416" t="s">
        <v>113</v>
      </c>
      <c r="AP102" s="416"/>
      <c r="AQ102" s="418">
        <v>0</v>
      </c>
    </row>
    <row r="103" spans="40:43" ht="18.95" customHeight="1" x14ac:dyDescent="0.25">
      <c r="AN103" s="415"/>
      <c r="AO103" s="419" t="s">
        <v>114</v>
      </c>
      <c r="AP103" s="419"/>
      <c r="AQ103" s="418">
        <v>1.71</v>
      </c>
    </row>
    <row r="104" spans="40:43" ht="18.95" customHeight="1" x14ac:dyDescent="0.25">
      <c r="AN104" s="415"/>
      <c r="AO104" s="420" t="s">
        <v>115</v>
      </c>
      <c r="AP104" s="421"/>
      <c r="AQ104" s="418">
        <v>1.33</v>
      </c>
    </row>
    <row r="105" spans="40:43" ht="18.95" customHeight="1" x14ac:dyDescent="0.25">
      <c r="AN105" s="415"/>
      <c r="AO105" s="416" t="s">
        <v>116</v>
      </c>
      <c r="AP105" s="416"/>
      <c r="AQ105" s="418">
        <v>1.1499999999999999</v>
      </c>
    </row>
    <row r="106" spans="40:43" ht="18.95" customHeight="1" x14ac:dyDescent="0.25">
      <c r="AN106" s="415"/>
      <c r="AO106" s="416" t="s">
        <v>117</v>
      </c>
      <c r="AP106" s="416"/>
      <c r="AQ106" s="422">
        <v>3.29</v>
      </c>
    </row>
    <row r="107" spans="40:43" ht="18.95" customHeight="1" x14ac:dyDescent="0.25">
      <c r="AN107" s="415"/>
      <c r="AO107" s="416" t="s">
        <v>118</v>
      </c>
      <c r="AP107" s="416"/>
      <c r="AQ107" s="423">
        <v>3.94</v>
      </c>
    </row>
    <row r="108" spans="40:43" ht="18.95" customHeight="1" x14ac:dyDescent="0.25">
      <c r="AN108" s="415"/>
      <c r="AO108" s="416" t="s">
        <v>119</v>
      </c>
      <c r="AP108" s="416"/>
      <c r="AQ108" s="423">
        <v>2.2799999999999998</v>
      </c>
    </row>
    <row r="109" spans="40:43" ht="18.95" customHeight="1" x14ac:dyDescent="0.25">
      <c r="AN109" s="415"/>
      <c r="AO109" s="416"/>
      <c r="AP109" s="416"/>
      <c r="AQ109" s="418">
        <f>+SUM(AQ101:AQ108)*AO94</f>
        <v>0</v>
      </c>
    </row>
    <row r="110" spans="40:43" ht="18.95" customHeight="1" x14ac:dyDescent="0.25">
      <c r="AN110" s="415" t="s">
        <v>120</v>
      </c>
      <c r="AO110" s="416"/>
      <c r="AP110" s="416"/>
      <c r="AQ110" s="417"/>
    </row>
    <row r="111" spans="40:43" ht="18.95" customHeight="1" x14ac:dyDescent="0.25">
      <c r="AN111" s="415"/>
      <c r="AO111" s="416" t="s">
        <v>121</v>
      </c>
      <c r="AP111" s="416"/>
      <c r="AQ111" s="418">
        <v>696</v>
      </c>
    </row>
    <row r="112" spans="40:43" ht="18.95" customHeight="1" x14ac:dyDescent="0.25">
      <c r="AN112" s="415"/>
      <c r="AO112" s="416"/>
      <c r="AP112" s="416"/>
      <c r="AQ112" s="417"/>
    </row>
    <row r="113" spans="40:43" ht="18.95" customHeight="1" x14ac:dyDescent="0.25">
      <c r="AN113" s="415" t="s">
        <v>122</v>
      </c>
      <c r="AO113" s="416"/>
      <c r="AP113" s="424" t="s">
        <v>123</v>
      </c>
      <c r="AQ113" s="425">
        <f>+AZ213</f>
        <v>0</v>
      </c>
    </row>
    <row r="114" spans="40:43" ht="18.95" customHeight="1" x14ac:dyDescent="0.25">
      <c r="AN114" s="415"/>
      <c r="AO114" s="623"/>
      <c r="AP114" s="623"/>
      <c r="AQ114" s="418">
        <v>0</v>
      </c>
    </row>
    <row r="115" spans="40:43" ht="18.95" customHeight="1" x14ac:dyDescent="0.25">
      <c r="AQ115" s="426"/>
    </row>
    <row r="116" spans="40:43" ht="18.95" customHeight="1" x14ac:dyDescent="0.25">
      <c r="AN116" s="415" t="s">
        <v>124</v>
      </c>
      <c r="AO116" s="416"/>
      <c r="AP116" s="416"/>
      <c r="AQ116" s="418" t="e">
        <f>+((SUM(AQ113,AQ109,AQ118,#REF!)*8.5%)/365)*80</f>
        <v>#REF!</v>
      </c>
    </row>
    <row r="117" spans="40:43" ht="18.95" customHeight="1" x14ac:dyDescent="0.25">
      <c r="AN117" s="415"/>
      <c r="AO117" s="416"/>
      <c r="AP117" s="416"/>
      <c r="AQ117" s="418" t="s">
        <v>125</v>
      </c>
    </row>
    <row r="118" spans="40:43" ht="18.95" customHeight="1" x14ac:dyDescent="0.25">
      <c r="AN118" s="427" t="s">
        <v>19</v>
      </c>
      <c r="AO118" s="428"/>
      <c r="AQ118" s="429">
        <v>300</v>
      </c>
    </row>
    <row r="119" spans="40:43" ht="18.95" customHeight="1" x14ac:dyDescent="0.25">
      <c r="AQ119" s="426"/>
    </row>
    <row r="120" spans="40:43" ht="18.95" customHeight="1" x14ac:dyDescent="0.25">
      <c r="AN120" s="415" t="s">
        <v>126</v>
      </c>
      <c r="AP120" s="416" t="s">
        <v>127</v>
      </c>
      <c r="AQ120" s="430">
        <f>30*AO96</f>
        <v>0</v>
      </c>
    </row>
    <row r="121" spans="40:43" ht="18.95" customHeight="1" x14ac:dyDescent="0.25">
      <c r="AN121" s="431"/>
      <c r="AO121" s="624" t="s">
        <v>128</v>
      </c>
      <c r="AP121" s="624"/>
      <c r="AQ121" s="432" t="e">
        <f>+SUM(AQ109,AQ118,AQ111,AQ113,AQ114,AQ116,AQ120)</f>
        <v>#REF!</v>
      </c>
    </row>
  </sheetData>
  <sheetProtection sheet="1" objects="1" scenarios="1"/>
  <protectedRanges>
    <protectedRange sqref="CW5:DA18 DJ5:DK29 DM5:DN29 DP3:DP29" name="Animal Health"/>
    <protectedRange sqref="BN7:BP11 CA6:CA11 CA17:CA22 CA28:CA33 CA39:CA44 CA50:CA55 CE50:CE56 CE39:CE45 CE28:CE34 CE17:CE23 CE6:CE12" name="Feed Rations"/>
    <protectedRange sqref="AR2:BA2 AR6:AS55 AV6:AV55 AX6:AX55 AZ6:AZ55" name="Animal Information"/>
    <protectedRange sqref="Q5:Q14 S5:W14 AA5:AC14" name="Lot Summary"/>
    <protectedRange sqref="J5:J13" name="Input"/>
  </protectedRanges>
  <mergeCells count="46">
    <mergeCell ref="CI1:CI2"/>
    <mergeCell ref="CM1:CO1"/>
    <mergeCell ref="CP1:CS2"/>
    <mergeCell ref="CW1:DB1"/>
    <mergeCell ref="A1:F1"/>
    <mergeCell ref="I1:K1"/>
    <mergeCell ref="L1:L2"/>
    <mergeCell ref="P1:AE1"/>
    <mergeCell ref="AG1:AJ2"/>
    <mergeCell ref="AN1:BF1"/>
    <mergeCell ref="EM1:EP2"/>
    <mergeCell ref="A2:F2"/>
    <mergeCell ref="AN2:AQ2"/>
    <mergeCell ref="AS2:AU2"/>
    <mergeCell ref="AV2:AW2"/>
    <mergeCell ref="AX2:AY2"/>
    <mergeCell ref="AZ2:BA2"/>
    <mergeCell ref="BB2:BF2"/>
    <mergeCell ref="DC1:DF2"/>
    <mergeCell ref="DJ1:DQ1"/>
    <mergeCell ref="DR1:DU2"/>
    <mergeCell ref="DY1:EB1"/>
    <mergeCell ref="EC1:EF2"/>
    <mergeCell ref="EK1:EL1"/>
    <mergeCell ref="BG1:BJ2"/>
    <mergeCell ref="BN1:CH1"/>
    <mergeCell ref="A12:F12"/>
    <mergeCell ref="A3:F3"/>
    <mergeCell ref="A5:F5"/>
    <mergeCell ref="BN5:BY5"/>
    <mergeCell ref="DY5:EB5"/>
    <mergeCell ref="A6:F6"/>
    <mergeCell ref="A7:F7"/>
    <mergeCell ref="A8:F8"/>
    <mergeCell ref="A9:F9"/>
    <mergeCell ref="A10:F10"/>
    <mergeCell ref="A11:F11"/>
    <mergeCell ref="DY11:EB11"/>
    <mergeCell ref="AO114:AP114"/>
    <mergeCell ref="AO121:AP121"/>
    <mergeCell ref="DY16:DY17"/>
    <mergeCell ref="DZ24:EA24"/>
    <mergeCell ref="DZ25:EA25"/>
    <mergeCell ref="AN56:AQ56"/>
    <mergeCell ref="AN98:AQ98"/>
    <mergeCell ref="AO99:AP99"/>
  </mergeCells>
  <conditionalFormatting sqref="DZ25:EB25">
    <cfRule type="colorScale" priority="2">
      <colorScale>
        <cfvo type="num" val="&quot;&lt;0&quot;"/>
        <cfvo type="num" val="&quot;&gt;=0&quot;"/>
        <color rgb="FFC00000"/>
        <color theme="1"/>
      </colorScale>
    </cfRule>
  </conditionalFormatting>
  <conditionalFormatting sqref="EB25">
    <cfRule type="cellIs" dxfId="2" priority="1" operator="lessThan">
      <formula>0</formula>
    </cfRule>
  </conditionalFormatting>
  <dataValidations count="12">
    <dataValidation type="whole" allowBlank="1" showInputMessage="1" showErrorMessage="1" sqref="DJ30:DL30" xr:uid="{FA93132C-E0C5-46C1-9483-3669A5DA4B13}">
      <formula1>#REF!</formula1>
      <formula2>#REF!</formula2>
    </dataValidation>
    <dataValidation allowBlank="1" showInputMessage="1" showErrorMessage="1" prompt="The sum of ration ingredients as a percent of the total dry matter in the diet must equal 100%." sqref="CF28:CG34 CF17:CG23 CF6:CG12 CF39 CF41:CG45 CG39:CG40" xr:uid="{305BB4AF-B23F-46F5-A446-11B9ECD271CC}"/>
    <dataValidation type="list" allowBlank="1" showInputMessage="1" showErrorMessage="1" sqref="CZ5:CZ18" xr:uid="{E2EBEFFA-6BCB-404B-867F-7ED4B8CF737F}">
      <formula1>$DD$6:$DD$7</formula1>
    </dataValidation>
    <dataValidation type="list" allowBlank="1" showInputMessage="1" showErrorMessage="1" sqref="DN5:DN29" xr:uid="{F4E2A940-8E6A-4243-B8F0-09AA2168F78D}">
      <formula1>$CW$5:$CW$18</formula1>
    </dataValidation>
    <dataValidation type="list" allowBlank="1" showInputMessage="1" showErrorMessage="1" sqref="CO3" xr:uid="{7EA42644-77BE-4FC4-8493-CD55927C0A14}">
      <formula1>$BN$7:$BN$11</formula1>
    </dataValidation>
    <dataValidation type="date" allowBlank="1" showInputMessage="1" showErrorMessage="1" error="Feed start date must be later than the first date cattle are purchased and before the date that the sale is recorded." prompt="Feed start date must be later than the first date cattle are purchased and before the date that the sale is recorded." sqref="BO7:BO11" xr:uid="{901B7D32-9A1A-4427-842A-60518EF4E625}">
      <formula1>$BO$2</formula1>
      <formula2>$BQ$2</formula2>
    </dataValidation>
    <dataValidation type="whole" allowBlank="1" showInputMessage="1" showErrorMessage="1" sqref="DJ5:DJ29" xr:uid="{7A7D5EE1-8295-4583-89F0-7D4393CB2324}">
      <formula1>MIN(AN6:AN55)</formula1>
      <formula2>MAX(AN6:AN55)</formula2>
    </dataValidation>
    <dataValidation type="date" allowBlank="1" showInputMessage="1" showErrorMessage="1" error="Feed end date must be later than the first date cattle are purchased and on or before the date that the sale is recorded." prompt="Feed end date must be later than the first date cattle are purchased and on or before the date that the sale is recorded." sqref="BP7:BP11" xr:uid="{EC5DBBFF-BFF1-4D3A-87B0-DDD8EB175F0A}">
      <formula1>$BO$2</formula1>
      <formula2>$BQ$2</formula2>
    </dataValidation>
    <dataValidation type="whole" allowBlank="1" showInputMessage="1" showErrorMessage="1" sqref="DK5:DK29" xr:uid="{5B1A9B9E-6747-440E-8C1D-54BF18583163}">
      <formula1>MIN($AP$6:$AP$55,$AR$2,$AS$2,$AV$2,$AX$2,$AZ$2)</formula1>
      <formula2>MAX($AP$6:$AP$55,$AR$2,$AS$2,$AV$2,$AX$2,$AZ$2)</formula2>
    </dataValidation>
    <dataValidation type="whole" allowBlank="1" showInputMessage="1" showErrorMessage="1" error="The number of head sold exceeds the number of animals purchased or entered into the program." sqref="AA15" xr:uid="{02190970-356B-45CF-901B-60A3AB534DA3}">
      <formula1>0</formula1>
      <formula2>R15</formula2>
    </dataValidation>
    <dataValidation type="custom" allowBlank="1" showInputMessage="1" showErrorMessage="1" error="Sum of animals sold exceeds the number of head purchased or entered into the program." sqref="AA5:AA14" xr:uid="{47FD42C2-A88A-4329-BFF0-89661301CCE4}">
      <formula1>SUM($AA$5:$AA$14)&lt;=$R$15</formula1>
    </dataValidation>
    <dataValidation type="list" allowBlank="1" showInputMessage="1" showErrorMessage="1" sqref="S5:S14" xr:uid="{BBDC35C3-0C5B-4B3B-995F-46CC32B0B483}">
      <formula1>$AH$7:$AH$11</formula1>
    </dataValidation>
  </dataValidations>
  <hyperlinks>
    <hyperlink ref="BG1:BJ2" location="'Lot 1'!A1" display="Return to navigation menu" xr:uid="{17C9D1DE-8D3A-4B50-83A8-57425FF50A23}"/>
    <hyperlink ref="AG1:AJ2" location="'Lot 4'!A1" display="Return to navigation menu" xr:uid="{D0DFDB16-667A-46A3-A2CE-53342A3443ED}"/>
    <hyperlink ref="EC1:EF2" location="'Lot 4'!A1" display="Return to navigation menu" xr:uid="{1203DBCD-29E1-400C-BD47-C8C3C81970C1}"/>
    <hyperlink ref="DR1:DU2" location="'Lot 4'!A1" display="Return to navigation menu" xr:uid="{74D32D2D-07CE-446E-91F4-82BD5EB04B91}"/>
    <hyperlink ref="CP1:CS2" location="'Lot 4'!A1" display="Return to navigation menu" xr:uid="{97FC8078-ABD0-40CB-A13D-E01BC67C8042}"/>
    <hyperlink ref="EM1:EP2" location="'Lot 4'!A1" display="Return to navigation menu" xr:uid="{6982555F-DED8-426D-BCE0-F1B8A2EDC8D4}"/>
    <hyperlink ref="DC1:DF2" location="'Lot 4'!A1" display="Return to navigation menu" xr:uid="{0A323079-B3CB-423F-9053-03F196AA82D2}"/>
    <hyperlink ref="CI1:CI2" location="'Lot 4'!A1" display="Return to navigation menu" xr:uid="{6A239765-821B-4AE0-A212-03F3ACFA0228}"/>
    <hyperlink ref="L1:L2" location="'Lot 4'!A1" display="Return to navigation menu" xr:uid="{ABDEDC0F-A119-4C8B-AAA1-0DC3A2602DDD}"/>
    <hyperlink ref="A11:F11" location="'Lot 4'!EB1" display="Grower-finisher budget" xr:uid="{785A80DD-3E40-4FBA-99B8-3539D01EB662}"/>
    <hyperlink ref="A12:F12" location="'Lot 4'!EM1" display="Financial analysis" xr:uid="{4CBDD10E-6A94-46BA-A00C-A1EB8D553184}"/>
    <hyperlink ref="A10:F10" location="'Lot 4'!DP1" display="Individual animal treatments" xr:uid="{E34B6398-EE04-4042-A8AF-6A7592014677}"/>
    <hyperlink ref="A5:F5" location="'Lot 4'!AH1" display="Lot summary" xr:uid="{5D234E3C-9CB9-47EF-8EC6-57EA0B351E55}"/>
    <hyperlink ref="A6:F6" location="'Lot 4'!BI1" display="Animal information" xr:uid="{B9B236CE-D9AD-4A88-B5BD-688A95EF884F}"/>
    <hyperlink ref="A9:F9" location="'Lot 4'!DD1" display="Veterinary" xr:uid="{22A7976F-93C9-40C6-B0DE-708A348B0CDB}"/>
    <hyperlink ref="A2:F2" location="'Lot 4'!L1" display="Inputs" xr:uid="{5483E278-42E7-438D-872B-7D54C69D85B7}"/>
    <hyperlink ref="A7:F7" location="'Lot 4'!BY1" display="Feed ration builder" xr:uid="{56D09F55-9B98-4D9D-85FB-ED71D126A861}"/>
    <hyperlink ref="A8:F8" location="'Lot 4'!CR1" display="Feed summary" xr:uid="{1D74F7DB-B2A8-4D1F-9D32-809007BF5099}"/>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8D64130-21AA-4E01-8FE5-FBDED4B195A1}">
          <x14:formula1>
            <xm:f>Feed!$B$4:$B$19</xm:f>
          </x14:formula1>
          <xm:sqref>CA6:CA11 CA28:CA33 CA39:CA44 CA50:CA55 CA17:CA22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0D91A-10C2-4DF2-BFBF-1C01AA388087}">
  <dimension ref="A1:EP121"/>
  <sheetViews>
    <sheetView showGridLines="0" workbookViewId="0">
      <selection sqref="A1:F1"/>
    </sheetView>
  </sheetViews>
  <sheetFormatPr defaultColWidth="11.28515625" defaultRowHeight="18.95" customHeight="1" x14ac:dyDescent="0.25"/>
  <cols>
    <col min="1" max="6" width="11.28515625" style="216"/>
    <col min="7" max="7" width="199.7109375" style="216" customWidth="1"/>
    <col min="8" max="8" width="11.28515625" style="216"/>
    <col min="9" max="9" width="46" style="216" bestFit="1" customWidth="1"/>
    <col min="10" max="10" width="11.28515625" style="216"/>
    <col min="11" max="11" width="14.42578125" style="216" bestFit="1" customWidth="1"/>
    <col min="12" max="12" width="34.7109375" style="216" bestFit="1" customWidth="1"/>
    <col min="13" max="13" width="141.28515625" style="216" customWidth="1"/>
    <col min="14" max="16" width="11.28515625" style="216"/>
    <col min="17" max="17" width="13.42578125" style="216" customWidth="1"/>
    <col min="18" max="25" width="11.28515625" style="216"/>
    <col min="26" max="26" width="6.7109375" style="216" customWidth="1"/>
    <col min="27" max="28" width="11.28515625" style="216"/>
    <col min="29" max="29" width="14.5703125" style="216" customWidth="1"/>
    <col min="30" max="30" width="13.28515625" style="216" customWidth="1"/>
    <col min="31" max="31" width="13.140625" style="216" customWidth="1"/>
    <col min="32" max="32" width="14.5703125" style="216" customWidth="1"/>
    <col min="33" max="40" width="11.28515625" style="216"/>
    <col min="41" max="41" width="7.140625" style="216" customWidth="1"/>
    <col min="42" max="43" width="11.28515625" style="216"/>
    <col min="44" max="44" width="11" style="216" customWidth="1"/>
    <col min="45" max="45" width="8.7109375" style="216" customWidth="1"/>
    <col min="46" max="46" width="0" style="216" hidden="1" customWidth="1"/>
    <col min="47" max="47" width="16.28515625" style="216" customWidth="1"/>
    <col min="48" max="48" width="11.28515625" style="216"/>
    <col min="49" max="49" width="18.85546875" style="216" bestFit="1" customWidth="1"/>
    <col min="50" max="50" width="11.28515625" style="216"/>
    <col min="51" max="51" width="16.28515625" style="216" customWidth="1"/>
    <col min="52" max="52" width="11.28515625" style="216"/>
    <col min="53" max="53" width="16.28515625" style="216" customWidth="1"/>
    <col min="54" max="54" width="11.28515625" style="216"/>
    <col min="55" max="55" width="11.28515625" style="411"/>
    <col min="56" max="62" width="11.28515625" style="216"/>
    <col min="63" max="64" width="11.28515625" style="213"/>
    <col min="65" max="65" width="11.28515625" style="216"/>
    <col min="66" max="66" width="29.28515625" style="216" customWidth="1"/>
    <col min="67" max="67" width="19.7109375" style="216" customWidth="1"/>
    <col min="68" max="68" width="19.85546875" style="216" customWidth="1"/>
    <col min="69" max="69" width="11.28515625" style="216"/>
    <col min="70" max="73" width="0" style="216" hidden="1" customWidth="1"/>
    <col min="74" max="74" width="24.85546875" style="216" customWidth="1"/>
    <col min="75" max="75" width="15.85546875" style="216" customWidth="1"/>
    <col min="76" max="76" width="16.28515625" style="216" customWidth="1"/>
    <col min="77" max="77" width="16.5703125" style="216" customWidth="1"/>
    <col min="78" max="78" width="11.28515625" style="216"/>
    <col min="79" max="79" width="35.28515625" style="216" customWidth="1"/>
    <col min="80" max="80" width="13.28515625" style="216" customWidth="1"/>
    <col min="81" max="81" width="14" style="216" customWidth="1"/>
    <col min="82" max="82" width="11.28515625" style="216"/>
    <col min="83" max="83" width="13.7109375" style="216" customWidth="1"/>
    <col min="84" max="84" width="11.28515625" style="216"/>
    <col min="85" max="85" width="13.7109375" style="216" customWidth="1"/>
    <col min="86" max="86" width="13.5703125" style="216" customWidth="1"/>
    <col min="87" max="87" width="34.7109375" style="216" bestFit="1" customWidth="1"/>
    <col min="88" max="88" width="141.85546875" style="216" customWidth="1"/>
    <col min="89" max="90" width="11.28515625" style="216"/>
    <col min="91" max="91" width="30" style="216" customWidth="1"/>
    <col min="92" max="92" width="12.28515625" style="216" customWidth="1"/>
    <col min="93" max="93" width="15.140625" style="216" customWidth="1"/>
    <col min="94" max="97" width="11.28515625" style="216"/>
    <col min="98" max="98" width="49.28515625" style="216" customWidth="1"/>
    <col min="99" max="99" width="93.28515625" style="216" customWidth="1"/>
    <col min="100" max="100" width="11.28515625" style="216"/>
    <col min="101" max="101" width="19.42578125" style="216" customWidth="1"/>
    <col min="102" max="102" width="23" style="216" customWidth="1"/>
    <col min="103" max="103" width="12.42578125" style="216" customWidth="1"/>
    <col min="104" max="104" width="14.85546875" style="216" customWidth="1"/>
    <col min="105" max="105" width="12.140625" style="216" customWidth="1"/>
    <col min="106" max="106" width="13.28515625" style="216" customWidth="1"/>
    <col min="107" max="110" width="11.28515625" style="216"/>
    <col min="111" max="111" width="155.28515625" style="216" customWidth="1"/>
    <col min="112" max="112" width="17.85546875" style="216" customWidth="1"/>
    <col min="113" max="116" width="11.28515625" style="216"/>
    <col min="117" max="117" width="22.140625" style="216" customWidth="1"/>
    <col min="118" max="118" width="23.140625" style="216" customWidth="1"/>
    <col min="119" max="119" width="12.85546875" style="216" customWidth="1"/>
    <col min="120" max="120" width="17.5703125" style="216" customWidth="1"/>
    <col min="121" max="121" width="14.140625" style="216" customWidth="1"/>
    <col min="122" max="125" width="11.28515625" style="216"/>
    <col min="126" max="126" width="169.7109375" style="216" customWidth="1"/>
    <col min="127" max="128" width="11.28515625" style="216"/>
    <col min="129" max="129" width="18.85546875" style="216" bestFit="1" customWidth="1"/>
    <col min="130" max="130" width="29.140625" style="216" customWidth="1"/>
    <col min="131" max="131" width="11.85546875" style="216" bestFit="1" customWidth="1"/>
    <col min="132" max="132" width="12.5703125" style="216" customWidth="1"/>
    <col min="133" max="136" width="11.28515625" style="216"/>
    <col min="137" max="137" width="176.42578125" style="216" customWidth="1"/>
    <col min="138" max="140" width="11.28515625" style="216"/>
    <col min="141" max="141" width="26.28515625" style="216" bestFit="1" customWidth="1"/>
    <col min="142" max="142" width="13.28515625" style="216" customWidth="1"/>
    <col min="143" max="16384" width="11.28515625" style="216"/>
  </cols>
  <sheetData>
    <row r="1" spans="1:146" ht="24" thickBot="1" x14ac:dyDescent="0.3">
      <c r="A1" s="586" t="s">
        <v>272</v>
      </c>
      <c r="B1" s="587"/>
      <c r="C1" s="587"/>
      <c r="D1" s="587"/>
      <c r="E1" s="587"/>
      <c r="F1" s="588"/>
      <c r="G1" s="209"/>
      <c r="H1" s="210"/>
      <c r="I1" s="589" t="s">
        <v>331</v>
      </c>
      <c r="J1" s="590"/>
      <c r="K1" s="591"/>
      <c r="L1" s="592" t="s">
        <v>200</v>
      </c>
      <c r="M1" s="209"/>
      <c r="N1" s="209"/>
      <c r="O1" s="9"/>
      <c r="P1" s="593" t="s">
        <v>286</v>
      </c>
      <c r="Q1" s="594"/>
      <c r="R1" s="594"/>
      <c r="S1" s="594"/>
      <c r="T1" s="594"/>
      <c r="U1" s="594"/>
      <c r="V1" s="594"/>
      <c r="W1" s="594"/>
      <c r="X1" s="594"/>
      <c r="Y1" s="594"/>
      <c r="Z1" s="594"/>
      <c r="AA1" s="594"/>
      <c r="AB1" s="594"/>
      <c r="AC1" s="594"/>
      <c r="AD1" s="594"/>
      <c r="AE1" s="594"/>
      <c r="AF1" s="211"/>
      <c r="AG1" s="579" t="s">
        <v>200</v>
      </c>
      <c r="AH1" s="579"/>
      <c r="AI1" s="579"/>
      <c r="AJ1" s="579"/>
      <c r="AK1" s="9"/>
      <c r="AL1" s="209"/>
      <c r="AM1" s="9"/>
      <c r="AN1" s="595" t="s">
        <v>264</v>
      </c>
      <c r="AO1" s="596"/>
      <c r="AP1" s="596"/>
      <c r="AQ1" s="596"/>
      <c r="AR1" s="596"/>
      <c r="AS1" s="596"/>
      <c r="AT1" s="596"/>
      <c r="AU1" s="596"/>
      <c r="AV1" s="596"/>
      <c r="AW1" s="596"/>
      <c r="AX1" s="596"/>
      <c r="AY1" s="596"/>
      <c r="AZ1" s="596"/>
      <c r="BA1" s="596"/>
      <c r="BB1" s="596"/>
      <c r="BC1" s="596"/>
      <c r="BD1" s="596"/>
      <c r="BE1" s="596"/>
      <c r="BF1" s="597"/>
      <c r="BG1" s="579" t="s">
        <v>200</v>
      </c>
      <c r="BH1" s="579"/>
      <c r="BI1" s="579"/>
      <c r="BJ1" s="579"/>
      <c r="BM1" s="9"/>
      <c r="BN1" s="613" t="s">
        <v>327</v>
      </c>
      <c r="BO1" s="613"/>
      <c r="BP1" s="613"/>
      <c r="BQ1" s="613"/>
      <c r="BR1" s="613"/>
      <c r="BS1" s="613"/>
      <c r="BT1" s="613"/>
      <c r="BU1" s="613"/>
      <c r="BV1" s="613"/>
      <c r="BW1" s="613"/>
      <c r="BX1" s="613"/>
      <c r="BY1" s="613"/>
      <c r="BZ1" s="613"/>
      <c r="CA1" s="613"/>
      <c r="CB1" s="613"/>
      <c r="CC1" s="613"/>
      <c r="CD1" s="613"/>
      <c r="CE1" s="613"/>
      <c r="CF1" s="613"/>
      <c r="CG1" s="613"/>
      <c r="CH1" s="613"/>
      <c r="CI1" s="579" t="s">
        <v>200</v>
      </c>
      <c r="CJ1" s="214"/>
      <c r="CK1" s="214"/>
      <c r="CL1" s="215"/>
      <c r="CM1" s="580" t="s">
        <v>203</v>
      </c>
      <c r="CN1" s="581"/>
      <c r="CO1" s="582"/>
      <c r="CP1" s="579" t="s">
        <v>200</v>
      </c>
      <c r="CQ1" s="579"/>
      <c r="CR1" s="579"/>
      <c r="CS1" s="579"/>
      <c r="CV1" s="9"/>
      <c r="CW1" s="583" t="s">
        <v>281</v>
      </c>
      <c r="CX1" s="584"/>
      <c r="CY1" s="584"/>
      <c r="CZ1" s="584"/>
      <c r="DA1" s="584"/>
      <c r="DB1" s="585"/>
      <c r="DC1" s="579" t="s">
        <v>200</v>
      </c>
      <c r="DD1" s="579"/>
      <c r="DE1" s="579"/>
      <c r="DF1" s="579"/>
      <c r="DI1" s="9"/>
      <c r="DJ1" s="583" t="s">
        <v>196</v>
      </c>
      <c r="DK1" s="584"/>
      <c r="DL1" s="584"/>
      <c r="DM1" s="584"/>
      <c r="DN1" s="584"/>
      <c r="DO1" s="584"/>
      <c r="DP1" s="584"/>
      <c r="DQ1" s="585"/>
      <c r="DR1" s="579" t="s">
        <v>200</v>
      </c>
      <c r="DS1" s="579"/>
      <c r="DT1" s="579"/>
      <c r="DU1" s="579"/>
      <c r="DX1" s="9"/>
      <c r="DY1" s="610" t="s">
        <v>246</v>
      </c>
      <c r="DZ1" s="611"/>
      <c r="EA1" s="611"/>
      <c r="EB1" s="612"/>
      <c r="EC1" s="579" t="s">
        <v>200</v>
      </c>
      <c r="ED1" s="579"/>
      <c r="EE1" s="579"/>
      <c r="EF1" s="579"/>
      <c r="EJ1" s="9"/>
      <c r="EK1" s="610" t="s">
        <v>253</v>
      </c>
      <c r="EL1" s="612"/>
      <c r="EM1" s="579" t="s">
        <v>200</v>
      </c>
      <c r="EN1" s="579"/>
      <c r="EO1" s="579"/>
      <c r="EP1" s="579"/>
    </row>
    <row r="2" spans="1:146" s="183" customFormat="1" ht="45.75" thickBot="1" x14ac:dyDescent="0.3">
      <c r="A2" s="598" t="s">
        <v>331</v>
      </c>
      <c r="B2" s="599"/>
      <c r="C2" s="599"/>
      <c r="D2" s="599"/>
      <c r="E2" s="599"/>
      <c r="F2" s="600"/>
      <c r="G2" s="164"/>
      <c r="H2" s="165"/>
      <c r="I2" s="490" t="s">
        <v>249</v>
      </c>
      <c r="J2" s="491" t="s">
        <v>332</v>
      </c>
      <c r="K2" s="492" t="s">
        <v>333</v>
      </c>
      <c r="L2" s="592"/>
      <c r="M2" s="164"/>
      <c r="N2" s="164"/>
      <c r="O2" s="166"/>
      <c r="P2" s="163" t="s">
        <v>188</v>
      </c>
      <c r="Q2" s="167" t="s">
        <v>109</v>
      </c>
      <c r="R2" s="167" t="s">
        <v>412</v>
      </c>
      <c r="S2" s="167" t="s">
        <v>107</v>
      </c>
      <c r="T2" s="167" t="s">
        <v>413</v>
      </c>
      <c r="U2" s="167" t="s">
        <v>282</v>
      </c>
      <c r="V2" s="168" t="s">
        <v>285</v>
      </c>
      <c r="W2" s="169" t="s">
        <v>185</v>
      </c>
      <c r="X2" s="170" t="s">
        <v>108</v>
      </c>
      <c r="Y2" s="171" t="s">
        <v>414</v>
      </c>
      <c r="Z2" s="170" t="s">
        <v>350</v>
      </c>
      <c r="AA2" s="170" t="s">
        <v>412</v>
      </c>
      <c r="AB2" s="170" t="s">
        <v>287</v>
      </c>
      <c r="AC2" s="170" t="s">
        <v>185</v>
      </c>
      <c r="AD2" s="170" t="s">
        <v>108</v>
      </c>
      <c r="AE2" s="170" t="s">
        <v>414</v>
      </c>
      <c r="AF2" s="171" t="s">
        <v>137</v>
      </c>
      <c r="AG2" s="579"/>
      <c r="AH2" s="579"/>
      <c r="AI2" s="579"/>
      <c r="AJ2" s="579"/>
      <c r="AK2" s="166"/>
      <c r="AL2" s="164"/>
      <c r="AM2" s="166"/>
      <c r="AN2" s="601" t="s">
        <v>278</v>
      </c>
      <c r="AO2" s="602"/>
      <c r="AP2" s="602"/>
      <c r="AQ2" s="603"/>
      <c r="AR2" s="517"/>
      <c r="AS2" s="604"/>
      <c r="AT2" s="605"/>
      <c r="AU2" s="606"/>
      <c r="AV2" s="604"/>
      <c r="AW2" s="606"/>
      <c r="AX2" s="604"/>
      <c r="AY2" s="606"/>
      <c r="AZ2" s="604"/>
      <c r="BA2" s="605"/>
      <c r="BB2" s="607" t="s">
        <v>187</v>
      </c>
      <c r="BC2" s="608"/>
      <c r="BD2" s="608"/>
      <c r="BE2" s="608"/>
      <c r="BF2" s="609"/>
      <c r="BG2" s="579"/>
      <c r="BH2" s="579"/>
      <c r="BI2" s="579"/>
      <c r="BJ2" s="579"/>
      <c r="BK2" s="173"/>
      <c r="BL2" s="173"/>
      <c r="BM2" s="166"/>
      <c r="BN2" s="494" t="s">
        <v>345</v>
      </c>
      <c r="BO2" s="495">
        <f>MIN(AP6:AP55)</f>
        <v>0</v>
      </c>
      <c r="BP2" s="496" t="s">
        <v>346</v>
      </c>
      <c r="BQ2" s="495">
        <f>MAX(AR2:BB2)</f>
        <v>0</v>
      </c>
      <c r="BR2" s="177"/>
      <c r="BS2" s="177"/>
      <c r="BT2" s="177"/>
      <c r="BU2" s="177"/>
      <c r="BV2" s="166"/>
      <c r="BW2" s="166"/>
      <c r="BX2" s="166"/>
      <c r="BY2" s="166"/>
      <c r="BZ2" s="166"/>
      <c r="CA2" s="166"/>
      <c r="CB2" s="166"/>
      <c r="CC2" s="166"/>
      <c r="CD2" s="166"/>
      <c r="CE2" s="166"/>
      <c r="CF2" s="166"/>
      <c r="CG2" s="166"/>
      <c r="CH2" s="166"/>
      <c r="CI2" s="579"/>
      <c r="CJ2" s="178"/>
      <c r="CK2" s="178"/>
      <c r="CL2" s="179"/>
      <c r="CM2" s="180" t="s">
        <v>220</v>
      </c>
      <c r="CN2" s="181" t="s">
        <v>296</v>
      </c>
      <c r="CO2" s="182" t="s">
        <v>329</v>
      </c>
      <c r="CP2" s="579"/>
      <c r="CQ2" s="579"/>
      <c r="CR2" s="579"/>
      <c r="CS2" s="579"/>
      <c r="CV2" s="166"/>
      <c r="CW2" s="184" t="s">
        <v>304</v>
      </c>
      <c r="CX2" s="185" t="s">
        <v>305</v>
      </c>
      <c r="CY2" s="185" t="s">
        <v>415</v>
      </c>
      <c r="CZ2" s="185" t="s">
        <v>310</v>
      </c>
      <c r="DA2" s="185" t="s">
        <v>416</v>
      </c>
      <c r="DB2" s="186" t="s">
        <v>197</v>
      </c>
      <c r="DC2" s="579"/>
      <c r="DD2" s="579"/>
      <c r="DE2" s="579"/>
      <c r="DF2" s="579"/>
      <c r="DI2" s="166"/>
      <c r="DJ2" s="184" t="s">
        <v>195</v>
      </c>
      <c r="DK2" s="185" t="s">
        <v>348</v>
      </c>
      <c r="DL2" s="185" t="s">
        <v>349</v>
      </c>
      <c r="DM2" s="185" t="s">
        <v>322</v>
      </c>
      <c r="DN2" s="185" t="s">
        <v>321</v>
      </c>
      <c r="DO2" s="190" t="s">
        <v>417</v>
      </c>
      <c r="DP2" s="185" t="s">
        <v>199</v>
      </c>
      <c r="DQ2" s="186" t="s">
        <v>197</v>
      </c>
      <c r="DR2" s="579"/>
      <c r="DS2" s="579"/>
      <c r="DT2" s="579"/>
      <c r="DU2" s="579"/>
      <c r="DX2" s="166"/>
      <c r="DY2" s="163" t="s">
        <v>249</v>
      </c>
      <c r="DZ2" s="167" t="s">
        <v>110</v>
      </c>
      <c r="EA2" s="167"/>
      <c r="EB2" s="187"/>
      <c r="EC2" s="579"/>
      <c r="ED2" s="579"/>
      <c r="EE2" s="579"/>
      <c r="EF2" s="579"/>
      <c r="EJ2" s="166"/>
      <c r="EK2" s="188" t="s">
        <v>249</v>
      </c>
      <c r="EL2" s="189" t="s">
        <v>258</v>
      </c>
      <c r="EM2" s="579"/>
      <c r="EN2" s="579"/>
      <c r="EO2" s="579"/>
      <c r="EP2" s="579"/>
    </row>
    <row r="3" spans="1:146" ht="18.95" hidden="1" customHeight="1" x14ac:dyDescent="0.25">
      <c r="A3" s="614"/>
      <c r="B3" s="615"/>
      <c r="C3" s="615"/>
      <c r="D3" s="615"/>
      <c r="E3" s="615"/>
      <c r="F3" s="616"/>
      <c r="G3" s="209"/>
      <c r="H3" s="210"/>
      <c r="I3" s="220"/>
      <c r="J3" s="210"/>
      <c r="K3" s="221"/>
      <c r="L3" s="210"/>
      <c r="M3" s="209"/>
      <c r="N3" s="209"/>
      <c r="O3" s="9"/>
      <c r="P3" s="222"/>
      <c r="Q3" s="223"/>
      <c r="R3" s="223"/>
      <c r="S3" s="223"/>
      <c r="T3" s="223"/>
      <c r="U3" s="223"/>
      <c r="V3" s="224"/>
      <c r="W3" s="225"/>
      <c r="X3" s="226"/>
      <c r="Y3" s="227"/>
      <c r="Z3" s="226"/>
      <c r="AA3" s="226"/>
      <c r="AB3" s="226"/>
      <c r="AC3" s="226"/>
      <c r="AD3" s="226"/>
      <c r="AE3" s="226"/>
      <c r="AF3" s="226"/>
      <c r="AG3" s="212"/>
      <c r="AH3" s="212"/>
      <c r="AI3" s="212"/>
      <c r="AJ3" s="212"/>
      <c r="AK3" s="9"/>
      <c r="AL3" s="209"/>
      <c r="AM3" s="9"/>
      <c r="AN3" s="228"/>
      <c r="AO3" s="229" t="s">
        <v>347</v>
      </c>
      <c r="AP3" s="229"/>
      <c r="AQ3" s="229"/>
      <c r="AR3" s="230">
        <v>1</v>
      </c>
      <c r="AS3" s="230">
        <v>2</v>
      </c>
      <c r="AT3" s="231"/>
      <c r="AU3" s="232"/>
      <c r="AV3" s="230">
        <v>3</v>
      </c>
      <c r="AW3" s="232"/>
      <c r="AX3" s="230">
        <v>4</v>
      </c>
      <c r="AY3" s="232"/>
      <c r="AZ3" s="230">
        <v>5</v>
      </c>
      <c r="BA3" s="231"/>
      <c r="BB3" s="233"/>
      <c r="BC3" s="509"/>
      <c r="BD3" s="234"/>
      <c r="BE3" s="234"/>
      <c r="BF3" s="235"/>
      <c r="BG3" s="212"/>
      <c r="BH3" s="212"/>
      <c r="BI3" s="212"/>
      <c r="BJ3" s="212"/>
      <c r="BM3" s="9"/>
      <c r="BN3" s="9"/>
      <c r="BO3" s="9"/>
      <c r="BP3" s="9"/>
      <c r="BQ3" s="9"/>
      <c r="BR3" s="9"/>
      <c r="BS3" s="9"/>
      <c r="BT3" s="9"/>
      <c r="BU3" s="9"/>
      <c r="BV3" s="9"/>
      <c r="BW3" s="9"/>
      <c r="BX3" s="9"/>
      <c r="BY3" s="9"/>
      <c r="BZ3" s="9"/>
      <c r="CA3" s="9"/>
      <c r="CB3" s="9"/>
      <c r="CC3" s="9"/>
      <c r="CD3" s="9"/>
      <c r="CE3" s="9"/>
      <c r="CF3" s="9"/>
      <c r="CG3" s="9"/>
      <c r="CH3" s="9"/>
      <c r="CI3" s="9"/>
      <c r="CL3" s="9"/>
      <c r="CM3" s="236"/>
      <c r="CN3" s="237"/>
      <c r="CO3" s="238"/>
      <c r="CP3" s="212"/>
      <c r="CQ3" s="212"/>
      <c r="CR3" s="212"/>
      <c r="CS3" s="212"/>
      <c r="CV3" s="9"/>
      <c r="CW3" s="239"/>
      <c r="CX3" s="12"/>
      <c r="CY3" s="12"/>
      <c r="CZ3" s="12"/>
      <c r="DA3" s="12"/>
      <c r="DB3" s="240"/>
      <c r="DC3" s="212"/>
      <c r="DD3" s="212"/>
      <c r="DE3" s="212"/>
      <c r="DF3" s="212"/>
      <c r="DI3" s="9"/>
      <c r="DJ3" s="239"/>
      <c r="DK3" s="12"/>
      <c r="DL3" s="12"/>
      <c r="DM3" s="12"/>
      <c r="DN3" s="12"/>
      <c r="DO3" s="12"/>
      <c r="DP3" s="12"/>
      <c r="DQ3" s="240"/>
      <c r="DR3" s="212"/>
      <c r="DS3" s="212"/>
      <c r="DT3" s="212"/>
      <c r="DU3" s="212"/>
      <c r="DX3" s="9"/>
      <c r="DY3" s="222"/>
      <c r="DZ3" s="223"/>
      <c r="EA3" s="223"/>
      <c r="EB3" s="241"/>
      <c r="EC3" s="212"/>
      <c r="ED3" s="212"/>
      <c r="EE3" s="212"/>
      <c r="EF3" s="212"/>
      <c r="EJ3" s="9"/>
      <c r="EK3" s="242"/>
      <c r="EL3" s="243"/>
      <c r="EM3" s="212"/>
      <c r="EN3" s="212"/>
      <c r="EO3" s="212"/>
      <c r="EP3" s="212"/>
    </row>
    <row r="4" spans="1:146" ht="21" hidden="1" customHeight="1" thickBot="1" x14ac:dyDescent="0.3">
      <c r="A4" s="217"/>
      <c r="B4" s="218"/>
      <c r="C4" s="218"/>
      <c r="D4" s="218"/>
      <c r="E4" s="218"/>
      <c r="F4" s="219"/>
      <c r="G4" s="244"/>
      <c r="H4" s="245"/>
      <c r="I4" s="246"/>
      <c r="J4" s="247"/>
      <c r="K4" s="248"/>
      <c r="L4" s="245"/>
      <c r="M4" s="244"/>
      <c r="N4" s="244"/>
      <c r="O4" s="9"/>
      <c r="P4" s="222"/>
      <c r="R4" s="223"/>
      <c r="S4" s="223"/>
      <c r="T4" s="223"/>
      <c r="U4" s="223"/>
      <c r="V4" s="224"/>
      <c r="W4" s="225"/>
      <c r="X4" s="226"/>
      <c r="Y4" s="227"/>
      <c r="Z4" s="226"/>
      <c r="AA4" s="226"/>
      <c r="AB4" s="226"/>
      <c r="AC4" s="226"/>
      <c r="AD4" s="226"/>
      <c r="AE4" s="226"/>
      <c r="AF4" s="226"/>
      <c r="AG4" s="212"/>
      <c r="AH4" s="212"/>
      <c r="AI4" s="212"/>
      <c r="AJ4" s="212"/>
      <c r="AK4" s="9"/>
      <c r="AL4" s="244"/>
      <c r="AM4" s="9"/>
      <c r="AN4" s="228"/>
      <c r="AO4" s="249" t="str">
        <f>V15</f>
        <v>-</v>
      </c>
      <c r="AP4" s="250" t="e">
        <f>AVERAGE(AP6:AP55)</f>
        <v>#DIV/0!</v>
      </c>
      <c r="AQ4" s="229"/>
      <c r="AR4" s="251"/>
      <c r="AS4" s="252"/>
      <c r="AT4" s="234"/>
      <c r="AU4" s="232">
        <f>IF(ISBLANK(AS2),0,DAYS360($AR$2,AS2,FALSE))</f>
        <v>0</v>
      </c>
      <c r="AV4" s="252"/>
      <c r="AW4" s="232">
        <f>IF(ISBLANK(AV2),0,DAYS360(AS2,AV2,FALSE))</f>
        <v>0</v>
      </c>
      <c r="AX4" s="252"/>
      <c r="AY4" s="232">
        <f>IF(ISBLANK(AX2),0,DAYS360(AV2,AX2,FALSE))</f>
        <v>0</v>
      </c>
      <c r="AZ4" s="252"/>
      <c r="BA4" s="253">
        <f>DAYS360(MAX(AR2,AS2,AV2,AX2),AZ2,FALSE)</f>
        <v>0</v>
      </c>
      <c r="BB4" s="233">
        <f>IF(ISBLANK(AZ2),0,DAYS360($AR$2,AZ2,FALSE))</f>
        <v>0</v>
      </c>
      <c r="BC4" s="510"/>
      <c r="BD4" s="234"/>
      <c r="BE4" s="234"/>
      <c r="BF4" s="235"/>
      <c r="BG4" s="9"/>
      <c r="BH4" s="9"/>
      <c r="BI4" s="9"/>
      <c r="BJ4" s="9"/>
      <c r="BM4" s="9"/>
      <c r="BN4" s="9"/>
      <c r="BO4" s="9"/>
      <c r="BP4" s="9"/>
      <c r="BQ4" s="9"/>
      <c r="BR4" s="9"/>
      <c r="BS4" s="9"/>
      <c r="BT4" s="9"/>
      <c r="BU4" s="9"/>
      <c r="BV4" s="9"/>
      <c r="BW4" s="9"/>
      <c r="BX4" s="9"/>
      <c r="BY4" s="9"/>
      <c r="BZ4" s="9"/>
      <c r="CA4" s="9"/>
      <c r="CB4" s="9"/>
      <c r="CC4" s="9"/>
      <c r="CD4" s="9"/>
      <c r="CE4" s="9"/>
      <c r="CF4" s="9"/>
      <c r="CG4" s="9"/>
      <c r="CH4" s="9"/>
      <c r="CI4" s="9"/>
      <c r="CL4" s="9"/>
      <c r="CM4" s="254" t="s">
        <v>223</v>
      </c>
      <c r="CN4" s="255"/>
      <c r="CO4" s="256">
        <v>6.75</v>
      </c>
      <c r="CP4" s="212"/>
      <c r="CQ4" s="212"/>
      <c r="CR4" s="212"/>
      <c r="CS4" s="212"/>
      <c r="CV4" s="9"/>
      <c r="CW4" s="239"/>
      <c r="CX4" s="12"/>
      <c r="CY4" s="12"/>
      <c r="CZ4" s="12"/>
      <c r="DA4" s="12"/>
      <c r="DB4" s="240"/>
      <c r="DC4" s="212"/>
      <c r="DD4" s="212"/>
      <c r="DE4" s="212"/>
      <c r="DF4" s="212"/>
      <c r="DI4" s="9"/>
      <c r="DJ4" s="239"/>
      <c r="DK4" s="12"/>
      <c r="DL4" s="12"/>
      <c r="DM4" s="12"/>
      <c r="DN4" s="12"/>
      <c r="DO4" s="12"/>
      <c r="DP4" s="12"/>
      <c r="DQ4" s="240"/>
      <c r="DR4" s="212"/>
      <c r="DS4" s="212"/>
      <c r="DT4" s="212"/>
      <c r="DU4" s="212"/>
      <c r="DX4" s="9"/>
      <c r="DY4" s="222"/>
      <c r="DZ4" s="223"/>
      <c r="EA4" s="223"/>
      <c r="EB4" s="241"/>
      <c r="EC4" s="212"/>
      <c r="ED4" s="212"/>
      <c r="EE4" s="212"/>
      <c r="EF4" s="212"/>
      <c r="EJ4" s="9"/>
      <c r="EK4" s="242"/>
      <c r="EL4" s="243"/>
      <c r="EM4" s="212"/>
      <c r="EN4" s="212"/>
      <c r="EO4" s="212"/>
      <c r="EP4" s="212"/>
    </row>
    <row r="5" spans="1:146" ht="31.5" x14ac:dyDescent="0.25">
      <c r="A5" s="614" t="s">
        <v>186</v>
      </c>
      <c r="B5" s="615"/>
      <c r="C5" s="615"/>
      <c r="D5" s="615"/>
      <c r="E5" s="615"/>
      <c r="F5" s="616"/>
      <c r="G5" s="244"/>
      <c r="H5" s="245"/>
      <c r="I5" s="257" t="s">
        <v>334</v>
      </c>
      <c r="J5" s="456"/>
      <c r="K5" s="258" t="s">
        <v>54</v>
      </c>
      <c r="L5" s="245"/>
      <c r="M5" s="244"/>
      <c r="N5" s="244"/>
      <c r="O5" s="259">
        <f>R5</f>
        <v>0</v>
      </c>
      <c r="P5" s="260">
        <v>1</v>
      </c>
      <c r="Q5" s="461"/>
      <c r="R5" s="261">
        <f>U5-T5+IF(ISBLANK(T5),0,1)</f>
        <v>0</v>
      </c>
      <c r="S5" s="463"/>
      <c r="T5" s="464"/>
      <c r="U5" s="465"/>
      <c r="V5" s="466"/>
      <c r="W5" s="467"/>
      <c r="X5" s="262">
        <f>IFERROR(V5/100*W5*R5,0)</f>
        <v>0</v>
      </c>
      <c r="Y5" s="263" t="str">
        <f>IFERROR(X5/R5,"-")</f>
        <v>-</v>
      </c>
      <c r="Z5" s="264">
        <v>1</v>
      </c>
      <c r="AA5" s="474"/>
      <c r="AB5" s="474"/>
      <c r="AC5" s="467"/>
      <c r="AD5" s="262">
        <f>IFERROR(AB5/100*AC5*R5,0)</f>
        <v>0</v>
      </c>
      <c r="AE5" s="265" t="str">
        <f>IFERROR(AD5/R5,"-")</f>
        <v>-</v>
      </c>
      <c r="AF5" s="266" t="str">
        <f>IFERROR(IF(AE5&lt;1,0,AE5-Y5-$CO$18),"-")</f>
        <v>-</v>
      </c>
      <c r="AG5" s="212"/>
      <c r="AH5" s="212"/>
      <c r="AI5" s="212"/>
      <c r="AJ5" s="212"/>
      <c r="AK5" s="9"/>
      <c r="AL5" s="244"/>
      <c r="AM5" s="9"/>
      <c r="AN5" s="267" t="s">
        <v>129</v>
      </c>
      <c r="AO5" s="185" t="s">
        <v>188</v>
      </c>
      <c r="AP5" s="268" t="s">
        <v>189</v>
      </c>
      <c r="AQ5" s="268" t="s">
        <v>136</v>
      </c>
      <c r="AR5" s="520" t="s">
        <v>423</v>
      </c>
      <c r="AS5" s="269" t="s">
        <v>131</v>
      </c>
      <c r="AT5" s="268" t="s">
        <v>279</v>
      </c>
      <c r="AU5" s="518" t="s">
        <v>130</v>
      </c>
      <c r="AV5" s="269" t="s">
        <v>132</v>
      </c>
      <c r="AW5" s="518" t="s">
        <v>130</v>
      </c>
      <c r="AX5" s="269" t="s">
        <v>133</v>
      </c>
      <c r="AY5" s="518" t="s">
        <v>130</v>
      </c>
      <c r="AZ5" s="269" t="s">
        <v>365</v>
      </c>
      <c r="BA5" s="519" t="s">
        <v>130</v>
      </c>
      <c r="BB5" s="271" t="s">
        <v>102</v>
      </c>
      <c r="BC5" s="511" t="s">
        <v>280</v>
      </c>
      <c r="BD5" s="190" t="s">
        <v>134</v>
      </c>
      <c r="BE5" s="190" t="s">
        <v>194</v>
      </c>
      <c r="BF5" s="272" t="s">
        <v>137</v>
      </c>
      <c r="BG5" s="9"/>
      <c r="BH5" s="9"/>
      <c r="BI5" s="9"/>
      <c r="BJ5" s="9"/>
      <c r="BM5" s="9"/>
      <c r="BN5" s="617" t="s">
        <v>219</v>
      </c>
      <c r="BO5" s="618"/>
      <c r="BP5" s="618"/>
      <c r="BQ5" s="618"/>
      <c r="BR5" s="618"/>
      <c r="BS5" s="618"/>
      <c r="BT5" s="618"/>
      <c r="BU5" s="618"/>
      <c r="BV5" s="618"/>
      <c r="BW5" s="618"/>
      <c r="BX5" s="618"/>
      <c r="BY5" s="619"/>
      <c r="BZ5" s="9"/>
      <c r="CA5" s="273" t="str">
        <f>IF(BN7=$BN$17,"-",BN7)</f>
        <v>-</v>
      </c>
      <c r="CB5" s="54" t="s">
        <v>328</v>
      </c>
      <c r="CC5" s="54" t="s">
        <v>205</v>
      </c>
      <c r="CD5" s="54" t="s">
        <v>95</v>
      </c>
      <c r="CE5" s="54" t="s">
        <v>326</v>
      </c>
      <c r="CF5" s="54" t="s">
        <v>206</v>
      </c>
      <c r="CG5" s="54" t="s">
        <v>234</v>
      </c>
      <c r="CH5" s="274" t="s">
        <v>209</v>
      </c>
      <c r="CI5" s="9"/>
      <c r="CL5" s="9"/>
      <c r="CM5" s="254" t="str">
        <f>CA5</f>
        <v>-</v>
      </c>
      <c r="CN5" s="275">
        <f>BQ7</f>
        <v>0</v>
      </c>
      <c r="CO5" s="276">
        <f>CG13</f>
        <v>0</v>
      </c>
      <c r="CP5" s="277">
        <f>CE13</f>
        <v>0</v>
      </c>
      <c r="CQ5" s="277">
        <f>IFERROR(CH14,0)</f>
        <v>0</v>
      </c>
      <c r="CR5" s="212"/>
      <c r="CS5" s="212"/>
      <c r="CV5" s="9"/>
      <c r="CW5" s="484"/>
      <c r="CX5" s="485"/>
      <c r="CY5" s="487"/>
      <c r="CZ5" s="487"/>
      <c r="DA5" s="485"/>
      <c r="DB5" s="278">
        <f>DA5*CY5</f>
        <v>0</v>
      </c>
      <c r="DC5" s="212"/>
      <c r="DD5" s="212"/>
      <c r="DE5" s="212"/>
      <c r="DF5" s="212"/>
      <c r="DI5" s="9"/>
      <c r="DJ5" s="484"/>
      <c r="DK5" s="489"/>
      <c r="DL5" s="9" t="str">
        <f t="shared" ref="DL5:DL29" si="0">IFERROR(VLOOKUP(DJ5,$AN$6:$AQ$55,4,FALSE),"-")</f>
        <v>-</v>
      </c>
      <c r="DM5" s="485"/>
      <c r="DN5" s="485"/>
      <c r="DO5" s="279" t="str">
        <f>IFERROR(VLOOKUP(DN5,$CW$5:$DA$18,3,FALSE),"")</f>
        <v/>
      </c>
      <c r="DP5" s="485"/>
      <c r="DQ5" s="278" t="str">
        <f>IFERROR(DP5*DO5,"")</f>
        <v/>
      </c>
      <c r="DR5" s="212"/>
      <c r="DS5" s="280">
        <f>AR2</f>
        <v>0</v>
      </c>
      <c r="DT5" s="212"/>
      <c r="DU5" s="212"/>
      <c r="DX5" s="9"/>
      <c r="DY5" s="620" t="s">
        <v>247</v>
      </c>
      <c r="DZ5" s="621"/>
      <c r="EA5" s="621"/>
      <c r="EB5" s="622"/>
      <c r="EC5" s="212"/>
      <c r="ED5" s="212"/>
      <c r="EE5" s="212"/>
      <c r="EF5" s="212"/>
      <c r="EJ5" s="9"/>
      <c r="EK5" s="281" t="s">
        <v>269</v>
      </c>
      <c r="EL5" s="282" t="str">
        <f>IFERROR(EL6*R15,"-")</f>
        <v>-</v>
      </c>
      <c r="EM5" s="212"/>
      <c r="EN5" s="212"/>
      <c r="EO5" s="212"/>
      <c r="EP5" s="212"/>
    </row>
    <row r="6" spans="1:146" ht="30" x14ac:dyDescent="0.25">
      <c r="A6" s="614" t="s">
        <v>284</v>
      </c>
      <c r="B6" s="615"/>
      <c r="C6" s="615"/>
      <c r="D6" s="615"/>
      <c r="E6" s="615"/>
      <c r="F6" s="616"/>
      <c r="G6" s="283"/>
      <c r="H6" s="284"/>
      <c r="I6" s="285" t="s">
        <v>335</v>
      </c>
      <c r="J6" s="456"/>
      <c r="K6" s="286" t="s">
        <v>46</v>
      </c>
      <c r="L6" s="284"/>
      <c r="M6" s="283"/>
      <c r="N6" s="283"/>
      <c r="O6" s="259">
        <f>R5+R6</f>
        <v>0</v>
      </c>
      <c r="P6" s="260">
        <v>2</v>
      </c>
      <c r="Q6" s="461"/>
      <c r="R6" s="287">
        <f t="shared" ref="R6:R14" si="1">U6-T6+IF(ISBLANK(T6),0,1)</f>
        <v>0</v>
      </c>
      <c r="S6" s="467"/>
      <c r="T6" s="464"/>
      <c r="U6" s="465"/>
      <c r="V6" s="466"/>
      <c r="W6" s="467"/>
      <c r="X6" s="262">
        <f t="shared" ref="X6:X14" si="2">IFERROR(V6/100*W6*R6,0)</f>
        <v>0</v>
      </c>
      <c r="Y6" s="263" t="str">
        <f t="shared" ref="Y6:Y14" si="3">IFERROR(X6/R6,"-")</f>
        <v>-</v>
      </c>
      <c r="Z6" s="264">
        <v>2</v>
      </c>
      <c r="AA6" s="474"/>
      <c r="AB6" s="474"/>
      <c r="AC6" s="467"/>
      <c r="AD6" s="262">
        <f t="shared" ref="AD6:AD14" si="4">IFERROR(AB6/100*AC6*R6,0)</f>
        <v>0</v>
      </c>
      <c r="AE6" s="265" t="str">
        <f t="shared" ref="AE6:AE14" si="5">IFERROR(AD6/R6,"-")</f>
        <v>-</v>
      </c>
      <c r="AF6" s="266" t="str">
        <f t="shared" ref="AF6:AF14" si="6">IFERROR(IF(AE6&lt;1,0,AE6-Y6-$CO$18),"-")</f>
        <v>-</v>
      </c>
      <c r="AG6" s="9"/>
      <c r="AH6" s="9"/>
      <c r="AI6" s="9"/>
      <c r="AJ6" s="9"/>
      <c r="AK6" s="9"/>
      <c r="AL6" s="283"/>
      <c r="AM6" s="259">
        <v>1</v>
      </c>
      <c r="AN6" s="288">
        <f>T5</f>
        <v>0</v>
      </c>
      <c r="AO6" s="9" t="str">
        <f>IF(AM6&lt;=$O$5,$P$5,IF(AM6&lt;=$O$6,$P$6,IF(AM6&lt;=$O$7,$P$7,IF(AM6&lt;=$O$8,$P$8,IF(AM6&lt;=$O$9,$P$9,IF(AM6&lt;=$O$10,$P$10,IF(AM6&lt;=$O$11,$P$11,IF(AM6&lt;=$O$12,$P$12,IF(AM6&lt;=$O13,$P13,IF(AM6&lt;=$O$14,$P$14,"-"))))))))))</f>
        <v>-</v>
      </c>
      <c r="AP6" s="289" t="str">
        <f>IFERROR(VLOOKUP(AO6,$P$5:$Q$14,2,FALSE),"-")</f>
        <v>-</v>
      </c>
      <c r="AQ6" s="9" t="str">
        <f>IFERROR(VLOOKUP(AO6,$P$5:$S$14,4,FALSE),"-")</f>
        <v>-</v>
      </c>
      <c r="AR6" s="453"/>
      <c r="AS6" s="453"/>
      <c r="AT6" s="229" t="str">
        <f>IFERROR($AS$2-AP6,"-")</f>
        <v>-</v>
      </c>
      <c r="AU6" s="290" t="str">
        <f>IFERROR(IF((AS6-AR6)/AT6&lt;-3,"CHECK INPUTS",(AS6-AR6)/AT6),"N/A")</f>
        <v>N/A</v>
      </c>
      <c r="AV6" s="453"/>
      <c r="AW6" s="290" t="str">
        <f t="shared" ref="AW6:AW55" si="7">IFERROR(IF((AV6-AS6)/AW$4&lt;-3,"CHECK INPUTS",IF((AV6-AS6)/AW$4&gt;0,(AV6-AS6)/AW$4,"-")),"N/A")</f>
        <v>N/A</v>
      </c>
      <c r="AX6" s="453"/>
      <c r="AY6" s="290" t="str">
        <f>IFERROR(IF((AX6-AV6)/AY$4&lt;-3,"CHECK INPUTS",IF((AX6-AV6)/AY$4&gt;0,(AX6-AV6)/AY$4,"-")),"N/A")</f>
        <v>N/A</v>
      </c>
      <c r="AZ6" s="453"/>
      <c r="BA6" s="291" t="str">
        <f>IFERROR(IF((AZ6-AX6)/BA$4&lt;-3,"CHECK INPUTS",IF((AZ6-AX6)/BA$4&gt;0,(AZ6-AX6)/BA$4,"-")),"N/A")</f>
        <v>N/A</v>
      </c>
      <c r="BB6" s="292" t="str">
        <f>IF(ISERROR(MAX(AZ6,AX6,AV6,AS6,AR6)-AR6),"-",IF(MAX(AZ6,AX6,AV6,AS6,AR6)-AR6=0,"-",MAX(AZ6,AX6,AV6,AS6,AR6)-AR6))</f>
        <v>-</v>
      </c>
      <c r="BC6" s="512" t="str">
        <f>IFERROR(MAX($AR$2,$AS$2,$AV$2,$AX$2,$AZ$2)-AP6,"-")</f>
        <v>-</v>
      </c>
      <c r="BD6" s="293" t="str">
        <f>IFERROR(IF((MAX(AZ6,AX6,AV6,AS6,AR6)-AR6)/BC6&gt;0,(MAX(AZ6,AX6,AV6,AS6,AR6)-AR6)/BC6,"-"),"-")</f>
        <v>-</v>
      </c>
      <c r="BE6" s="293" t="str">
        <f>IF(SUMIF($DJ$5:$DJ$30,AN6,$DQ$5:$DQ$30)&gt;0,SUMIF($DJ$5:$DJ$30,AN6,$DQ$5:$DQ$30),"-")</f>
        <v>-</v>
      </c>
      <c r="BF6" s="294" t="str">
        <f>IFERROR(IF(ISBLANK(AR6),"-",IF(OR(AR6=$AR$57,AS6=$AR$57,AV6=$AR$57,AX6=$AR$57,AZ6=$AR$57),-VLOOKUP(AO6,$P$5:$Y$14,10,FALSE)-BC6*$CO$19,IF(ISBLANK(AR6),0,MAX(AZ6,AX6,AV6,AS6,AR6)*$AC$15/100-VLOOKUP(AO6,$P$5:$Y$14,10,FALSE))-BC6*$CO$19)),"-")</f>
        <v>-</v>
      </c>
      <c r="BG6" s="9"/>
      <c r="BH6" s="9"/>
      <c r="BI6" s="9"/>
      <c r="BJ6" s="9"/>
      <c r="BM6" s="9"/>
      <c r="BN6" s="504" t="s">
        <v>220</v>
      </c>
      <c r="BO6" s="505" t="s">
        <v>294</v>
      </c>
      <c r="BP6" s="505" t="s">
        <v>295</v>
      </c>
      <c r="BQ6" s="505" t="s">
        <v>296</v>
      </c>
      <c r="BR6" s="505" t="s">
        <v>297</v>
      </c>
      <c r="BS6" s="505" t="s">
        <v>298</v>
      </c>
      <c r="BT6" s="505" t="s">
        <v>299</v>
      </c>
      <c r="BU6" s="505" t="s">
        <v>300</v>
      </c>
      <c r="BV6" s="505" t="s">
        <v>221</v>
      </c>
      <c r="BW6" s="505" t="s">
        <v>228</v>
      </c>
      <c r="BX6" s="505" t="s">
        <v>229</v>
      </c>
      <c r="BY6" s="506" t="s">
        <v>231</v>
      </c>
      <c r="BZ6" s="9"/>
      <c r="CA6" s="476"/>
      <c r="CB6" s="515">
        <f>IFERROR(VLOOKUP(CA6,Feed!$B$4:$H$19,2,FALSE)*($BR$7/$BQ$7)+VLOOKUP(CA6,Feed!$B$4:$H$19,3,FALSE)*($BS$7/$BQ$7)+VLOOKUP(CA6,Feed!$B$4:$H$19,4,FALSE)*($BT$7/$BQ$7)+VLOOKUP(CA6,Feed!$B$4:$H$19,5,FALSE)*($BU$7/$BQ$7),0)</f>
        <v>0</v>
      </c>
      <c r="CC6" s="299" t="str">
        <f t="shared" ref="CC6:CC11" si="8">IFERROR(VLOOKUP($CA6,FeedIngLst,6,FALSE),"-")</f>
        <v>-</v>
      </c>
      <c r="CD6" s="299" t="str">
        <f t="shared" ref="CD6:CD11" si="9">IFERROR(VLOOKUP($CA6,FeedIngLst,7,FALSE),"-")</f>
        <v>-</v>
      </c>
      <c r="CE6" s="482"/>
      <c r="CF6" s="299" t="str">
        <f>IFERROR(CE6/$CE$13,"-")</f>
        <v>-</v>
      </c>
      <c r="CG6" s="300">
        <f t="shared" ref="CG6:CG13" si="10">CE6*$R$15*$BQ$7/2000</f>
        <v>0</v>
      </c>
      <c r="CH6" s="301" t="str">
        <f t="shared" ref="CH6:CH12" si="11">IFERROR($CB6/$CC6/(1-$CD6),"-")</f>
        <v>-</v>
      </c>
      <c r="CI6" s="9"/>
      <c r="CL6" s="9"/>
      <c r="CM6" s="254" t="str">
        <f>CA16</f>
        <v>-</v>
      </c>
      <c r="CN6" s="275">
        <f t="shared" ref="CN6:CN9" si="12">BQ8</f>
        <v>0</v>
      </c>
      <c r="CO6" s="276">
        <f>CG24</f>
        <v>0</v>
      </c>
      <c r="CP6" s="277">
        <f>CE24</f>
        <v>0</v>
      </c>
      <c r="CQ6" s="302">
        <f>IFERROR(CH25,0)</f>
        <v>0</v>
      </c>
      <c r="CR6" s="9"/>
      <c r="CS6" s="9"/>
      <c r="CV6" s="9"/>
      <c r="CW6" s="484"/>
      <c r="CX6" s="485"/>
      <c r="CY6" s="487"/>
      <c r="CZ6" s="487"/>
      <c r="DA6" s="485"/>
      <c r="DB6" s="278">
        <f t="shared" ref="DB6:DB18" si="13">DA6*CY6</f>
        <v>0</v>
      </c>
      <c r="DC6" s="9"/>
      <c r="DD6" s="259" t="s">
        <v>307</v>
      </c>
      <c r="DE6" s="9"/>
      <c r="DF6" s="9"/>
      <c r="DI6" s="9"/>
      <c r="DJ6" s="484"/>
      <c r="DK6" s="489"/>
      <c r="DL6" s="9" t="str">
        <f t="shared" si="0"/>
        <v>-</v>
      </c>
      <c r="DM6" s="485"/>
      <c r="DN6" s="485"/>
      <c r="DO6" s="279" t="str">
        <f t="shared" ref="DO6:DO29" si="14">IFERROR(VLOOKUP(DN6,$CW$5:$DA$18,3,FALSE),"")</f>
        <v/>
      </c>
      <c r="DP6" s="485"/>
      <c r="DQ6" s="278" t="str">
        <f t="shared" ref="DQ6:DQ29" si="15">IFERROR(DP6*DO6,"")</f>
        <v/>
      </c>
      <c r="DR6" s="9"/>
      <c r="DS6" s="303">
        <f>AS2</f>
        <v>0</v>
      </c>
      <c r="DT6" s="9"/>
      <c r="DU6" s="9"/>
      <c r="DX6" s="9"/>
      <c r="DY6" s="304" t="s">
        <v>248</v>
      </c>
      <c r="DZ6" s="305" t="str">
        <f>ROUND(MAX(AZ56,AX56,AV56,AS56,AR56),0)&amp; " pounds at $"&amp;ROUND(AC15,0)&amp;" per CWT"</f>
        <v>0 pounds at $0 per CWT</v>
      </c>
      <c r="EA6" s="306"/>
      <c r="EB6" s="307" t="str">
        <f>IFERROR(AB15*AC15/100,"-")</f>
        <v>-</v>
      </c>
      <c r="EC6" s="9"/>
      <c r="ED6" s="9"/>
      <c r="EE6" s="9"/>
      <c r="EF6" s="9"/>
      <c r="EJ6" s="9"/>
      <c r="EK6" s="281" t="s">
        <v>270</v>
      </c>
      <c r="EL6" s="282" t="str">
        <f>IFERROR(EB6-EB12-EB14,"-")</f>
        <v>-</v>
      </c>
      <c r="EM6" s="308"/>
      <c r="EN6" s="309"/>
      <c r="EO6" s="9"/>
      <c r="EP6" s="9"/>
    </row>
    <row r="7" spans="1:146" ht="18.95" customHeight="1" x14ac:dyDescent="0.25">
      <c r="A7" s="614" t="s">
        <v>340</v>
      </c>
      <c r="B7" s="615"/>
      <c r="C7" s="615"/>
      <c r="D7" s="615"/>
      <c r="E7" s="615"/>
      <c r="F7" s="616"/>
      <c r="G7" s="283"/>
      <c r="H7" s="284"/>
      <c r="I7" s="285" t="s">
        <v>2</v>
      </c>
      <c r="J7" s="456"/>
      <c r="K7" s="286" t="s">
        <v>337</v>
      </c>
      <c r="L7" s="284"/>
      <c r="M7" s="283"/>
      <c r="N7" s="283"/>
      <c r="O7" s="259">
        <f>SUM(R5:R7)</f>
        <v>0</v>
      </c>
      <c r="P7" s="260">
        <v>3</v>
      </c>
      <c r="Q7" s="461"/>
      <c r="R7" s="287">
        <f t="shared" si="1"/>
        <v>0</v>
      </c>
      <c r="S7" s="467"/>
      <c r="T7" s="464"/>
      <c r="U7" s="465"/>
      <c r="V7" s="468"/>
      <c r="W7" s="467"/>
      <c r="X7" s="262">
        <f t="shared" si="2"/>
        <v>0</v>
      </c>
      <c r="Y7" s="263" t="str">
        <f t="shared" si="3"/>
        <v>-</v>
      </c>
      <c r="Z7" s="264">
        <v>3</v>
      </c>
      <c r="AA7" s="474"/>
      <c r="AB7" s="474"/>
      <c r="AC7" s="467"/>
      <c r="AD7" s="262">
        <f t="shared" si="4"/>
        <v>0</v>
      </c>
      <c r="AE7" s="265" t="str">
        <f t="shared" si="5"/>
        <v>-</v>
      </c>
      <c r="AF7" s="266" t="str">
        <f t="shared" si="6"/>
        <v>-</v>
      </c>
      <c r="AG7" s="9"/>
      <c r="AH7" s="259" t="s">
        <v>135</v>
      </c>
      <c r="AI7" s="9"/>
      <c r="AJ7" s="9"/>
      <c r="AK7" s="9"/>
      <c r="AL7" s="283"/>
      <c r="AM7" s="259">
        <v>2</v>
      </c>
      <c r="AN7" s="310" t="str">
        <f>IFERROR(IF(SUM($T$5:$T$14)&lt;1,"-",IF(AO7=AO6,AN6+1,VLOOKUP(AO7,$P$5:$U$14,5,FALSE))),"-")</f>
        <v>-</v>
      </c>
      <c r="AO7" s="9" t="str">
        <f t="shared" ref="AO7:AO55" si="16">IF(AM7&lt;=$O$5,$P$5,IF(AM7&lt;=$O$6,$P$6,IF(AM7&lt;=$O$7,$P$7,IF(AM7&lt;=$O$8,$P$8,IF(AM7&lt;=$O$9,$P$9,IF(AM7&lt;=$O$10,$P$10,IF(AM7&lt;=$O$11,$P$11,IF(AM7&lt;=$O$12,$P$12,IF(AM7&lt;=$O15,$P15,IF(AM7&lt;=$O$14,$P$14,"-"))))))))))</f>
        <v>-</v>
      </c>
      <c r="AP7" s="289" t="str">
        <f t="shared" ref="AP7:AP55" si="17">IFERROR(VLOOKUP(AO7,$P$5:$Q$14,2,FALSE),"-")</f>
        <v>-</v>
      </c>
      <c r="AQ7" s="9" t="str">
        <f t="shared" ref="AQ7:AQ55" si="18">IFERROR(VLOOKUP(AO7,$P$5:$S$14,4,FALSE),"-")</f>
        <v>-</v>
      </c>
      <c r="AR7" s="453"/>
      <c r="AS7" s="453"/>
      <c r="AT7" s="229" t="str">
        <f t="shared" ref="AT7:AT55" si="19">IFERROR($AS$2-AP7,"-")</f>
        <v>-</v>
      </c>
      <c r="AU7" s="290" t="str">
        <f t="shared" ref="AU7:AU55" si="20">IFERROR(IF((AS7-AR7)/AT7&lt;-3,"CHECK INPUTS",(AS7-AR7)/AT7),"N/A")</f>
        <v>N/A</v>
      </c>
      <c r="AV7" s="453"/>
      <c r="AW7" s="290" t="str">
        <f t="shared" si="7"/>
        <v>N/A</v>
      </c>
      <c r="AX7" s="453"/>
      <c r="AY7" s="290" t="str">
        <f t="shared" ref="AY7:AY55" si="21">IFERROR(IF((AX7-AV7)/AY$4&lt;-3,"CHECK INPUTS",IF((AX7-AV7)/AY$4&gt;0,(AX7-AV7)/AY$4,"-")),"N/A")</f>
        <v>N/A</v>
      </c>
      <c r="AZ7" s="453"/>
      <c r="BA7" s="291" t="str">
        <f t="shared" ref="BA7:BA55" si="22">IFERROR(IF((AZ7-AX7)/BA$4&lt;-3,"CHECK INPUTS",IF((AZ7-AX7)/BA$4&gt;0,(AZ7-AX7)/BA$4,"-")),"N/A")</f>
        <v>N/A</v>
      </c>
      <c r="BB7" s="292" t="str">
        <f t="shared" ref="BB7:BB55" si="23">IF(ISERROR(MAX(AZ7,AX7,AV7,AS7,AR7)-AR7),"-",IF(MAX(AZ7,AX7,AV7,AS7,AR7)-AR7=0,"-",MAX(AZ7,AX7,AV7,AS7,AR7)-AR7))</f>
        <v>-</v>
      </c>
      <c r="BC7" s="512" t="str">
        <f t="shared" ref="BC7:BC55" si="24">IFERROR(MAX($AR$2,$AS$2,$AV$2,$AX$2,$AZ$2)-AP7,"-")</f>
        <v>-</v>
      </c>
      <c r="BD7" s="293" t="str">
        <f t="shared" ref="BD7:BD55" si="25">IFERROR(IF((MAX(AZ7,AX7,AV7,AS7,AR7)-AR7)/BC7&gt;0,(MAX(AZ7,AX7,AV7,AS7,AR7)-AR7)/BC7,"-"),"-")</f>
        <v>-</v>
      </c>
      <c r="BE7" s="293" t="str">
        <f t="shared" ref="BE7:BE55" si="26">IF(SUMIF($DJ$5:$DJ$30,AN7,$DQ$5:$DQ$30)&gt;0,SUMIF($DJ$5:$DJ$30,AN7,$DQ$5:$DQ$30),"-")</f>
        <v>-</v>
      </c>
      <c r="BF7" s="294" t="str">
        <f t="shared" ref="BF7:BF55" si="27">IFERROR(IF(ISBLANK(AR7),"-",IF(OR(AR7=$AR$57,AS7=$AR$57,AV7=$AR$57,AX7=$AR$57,AZ7=$AR$57),-VLOOKUP(AO7,$P$5:$Y$14,10,FALSE)-BC7*$CO$19,IF(ISBLANK(AR7),0,MAX(AZ7,AX7,AV7,AS7,AR7)*$AC$15/100-VLOOKUP(AO7,$P$5:$Y$14,10,FALSE))-BC7*$CO$19)),"-")</f>
        <v>-</v>
      </c>
      <c r="BG7" s="9"/>
      <c r="BH7" s="9"/>
      <c r="BI7" s="9"/>
      <c r="BJ7" s="9"/>
      <c r="BM7" s="9"/>
      <c r="BN7" s="476" t="s">
        <v>293</v>
      </c>
      <c r="BO7" s="477"/>
      <c r="BP7" s="477"/>
      <c r="BQ7" s="311">
        <f>IF($BP7-$BO7&gt;0,$BP7-$BO7,0)</f>
        <v>0</v>
      </c>
      <c r="BR7" s="312">
        <f>IF(ISBLANK(BO7),0,IF(AND(Feed!D$3&gt;$BP7,$BP7&gt;Feed!C$3),$BQ7,MAX(MIN($BP7,Feed!D$3)-$BO7,0)))</f>
        <v>0</v>
      </c>
      <c r="BS7" s="312">
        <f>IF(ISBLANK(BO7),0,IF(AND(Feed!E$3&gt;$BP7,$BP7&gt;Feed!D$3),$BQ7,MAX(MIN($BP7,Feed!E$3)-$BO7-BR7,0)))</f>
        <v>0</v>
      </c>
      <c r="BT7" s="312">
        <f>IF(AND(Feed!F$3&gt;$BP7,$BP7&gt;Feed!E$3),$BQ7,MAX(MIN($BP7,Feed!F$3)-$BO7-BS7-BR7,0))</f>
        <v>0</v>
      </c>
      <c r="BU7" s="312">
        <f>IF(AND(Feed!G$3&gt;$BP7,$BP7&gt;Feed!F$3),$BQ7,MAX(MIN($BP7,Feed!G$3)-$BO7-BT7-BT7-BS7-BR7,0))</f>
        <v>0</v>
      </c>
      <c r="BV7" s="313">
        <f>CH14</f>
        <v>0</v>
      </c>
      <c r="BW7" s="507">
        <f>CH12</f>
        <v>78.359787947924048</v>
      </c>
      <c r="BX7" s="313">
        <f>IF($BV7=0,0,$BV7-$BW7)</f>
        <v>0</v>
      </c>
      <c r="BY7" s="315" t="str">
        <f>CF12</f>
        <v>-</v>
      </c>
      <c r="BZ7" s="9"/>
      <c r="CA7" s="476"/>
      <c r="CB7" s="515">
        <f>IFERROR(VLOOKUP(CA7,Feed!$B$4:$H$19,2,FALSE)*($BR$7/$BQ$7)+VLOOKUP(CA7,Feed!$B$4:$H$19,3,FALSE)*($BS$7/$BQ$7)+VLOOKUP(CA7,Feed!$B$4:$H$19,4,FALSE)*($BT$7/$BQ$7)+VLOOKUP(CA7,Feed!$B$4:$H$19,5,FALSE)*($BU$7/$BQ$7),0)</f>
        <v>0</v>
      </c>
      <c r="CC7" s="299" t="str">
        <f t="shared" si="8"/>
        <v>-</v>
      </c>
      <c r="CD7" s="299" t="str">
        <f t="shared" si="9"/>
        <v>-</v>
      </c>
      <c r="CE7" s="482"/>
      <c r="CF7" s="299" t="str">
        <f t="shared" ref="CF7:CF12" si="28">IFERROR(CE7/$CE$13,"-")</f>
        <v>-</v>
      </c>
      <c r="CG7" s="300">
        <f t="shared" si="10"/>
        <v>0</v>
      </c>
      <c r="CH7" s="301" t="str">
        <f t="shared" si="11"/>
        <v>-</v>
      </c>
      <c r="CI7" s="9"/>
      <c r="CL7" s="9"/>
      <c r="CM7" s="254" t="str">
        <f>CA27</f>
        <v>-</v>
      </c>
      <c r="CN7" s="275">
        <f t="shared" si="12"/>
        <v>0</v>
      </c>
      <c r="CO7" s="276">
        <f>CG35</f>
        <v>0</v>
      </c>
      <c r="CP7" s="277">
        <f>CE35</f>
        <v>0</v>
      </c>
      <c r="CQ7" s="302">
        <f>IFERROR(CH36,0)</f>
        <v>0</v>
      </c>
      <c r="CR7" s="9"/>
      <c r="CS7" s="9"/>
      <c r="CV7" s="9"/>
      <c r="CW7" s="484"/>
      <c r="CX7" s="485"/>
      <c r="CY7" s="487"/>
      <c r="CZ7" s="487"/>
      <c r="DA7" s="485"/>
      <c r="DB7" s="278">
        <f t="shared" si="13"/>
        <v>0</v>
      </c>
      <c r="DC7" s="9"/>
      <c r="DD7" s="259" t="s">
        <v>308</v>
      </c>
      <c r="DE7" s="9"/>
      <c r="DF7" s="9"/>
      <c r="DI7" s="9"/>
      <c r="DJ7" s="484"/>
      <c r="DK7" s="485"/>
      <c r="DL7" s="9" t="str">
        <f t="shared" si="0"/>
        <v>-</v>
      </c>
      <c r="DM7" s="485"/>
      <c r="DN7" s="485"/>
      <c r="DO7" s="279" t="str">
        <f t="shared" si="14"/>
        <v/>
      </c>
      <c r="DP7" s="485"/>
      <c r="DQ7" s="278" t="str">
        <f t="shared" si="15"/>
        <v/>
      </c>
      <c r="DR7" s="9"/>
      <c r="DS7" s="303">
        <f>AV2</f>
        <v>0</v>
      </c>
      <c r="DT7" s="9"/>
      <c r="DU7" s="9"/>
      <c r="DX7" s="9"/>
      <c r="DY7" s="304" t="s">
        <v>245</v>
      </c>
      <c r="DZ7" s="305"/>
      <c r="EA7" s="306"/>
      <c r="EB7" s="307" t="str">
        <f>IFERROR((J5/100*AVERAGE(V15,AB15)-EB6)/R15*SUM(AS58:AZ58),"-")</f>
        <v>-</v>
      </c>
      <c r="EC7" s="9"/>
      <c r="ED7" s="9"/>
      <c r="EE7" s="9"/>
      <c r="EF7" s="9"/>
      <c r="EJ7" s="9"/>
      <c r="EK7" s="281" t="s">
        <v>271</v>
      </c>
      <c r="EL7" s="282">
        <f>IFERROR(EL6/MAX(AZ56,AX56,AV56,AS56,AR56),)</f>
        <v>0</v>
      </c>
      <c r="EM7" s="308"/>
      <c r="EN7" s="309"/>
      <c r="EO7" s="9"/>
      <c r="EP7" s="9"/>
    </row>
    <row r="8" spans="1:146" ht="18.75" x14ac:dyDescent="0.25">
      <c r="A8" s="614" t="s">
        <v>273</v>
      </c>
      <c r="B8" s="615"/>
      <c r="C8" s="615"/>
      <c r="D8" s="615"/>
      <c r="E8" s="615"/>
      <c r="F8" s="616"/>
      <c r="G8" s="283"/>
      <c r="H8" s="284"/>
      <c r="I8" s="285" t="s">
        <v>9</v>
      </c>
      <c r="J8" s="457"/>
      <c r="K8" s="286" t="s">
        <v>336</v>
      </c>
      <c r="L8" s="284"/>
      <c r="M8" s="283"/>
      <c r="N8" s="283"/>
      <c r="O8" s="259">
        <f>SUM(R5:R8)</f>
        <v>0</v>
      </c>
      <c r="P8" s="260">
        <v>4</v>
      </c>
      <c r="Q8" s="461"/>
      <c r="R8" s="287">
        <f t="shared" si="1"/>
        <v>0</v>
      </c>
      <c r="S8" s="467"/>
      <c r="T8" s="464"/>
      <c r="U8" s="465"/>
      <c r="V8" s="468"/>
      <c r="W8" s="467"/>
      <c r="X8" s="262">
        <f t="shared" si="2"/>
        <v>0</v>
      </c>
      <c r="Y8" s="263" t="str">
        <f t="shared" si="3"/>
        <v>-</v>
      </c>
      <c r="Z8" s="264">
        <v>4</v>
      </c>
      <c r="AA8" s="474"/>
      <c r="AB8" s="474"/>
      <c r="AC8" s="467"/>
      <c r="AD8" s="262">
        <f t="shared" si="4"/>
        <v>0</v>
      </c>
      <c r="AE8" s="265" t="str">
        <f t="shared" si="5"/>
        <v>-</v>
      </c>
      <c r="AF8" s="266" t="str">
        <f t="shared" si="6"/>
        <v>-</v>
      </c>
      <c r="AG8" s="9"/>
      <c r="AH8" s="259" t="s">
        <v>366</v>
      </c>
      <c r="AI8" s="9"/>
      <c r="AJ8" s="9"/>
      <c r="AK8" s="9"/>
      <c r="AL8" s="283"/>
      <c r="AM8" s="259">
        <v>3</v>
      </c>
      <c r="AN8" s="310" t="str">
        <f t="shared" ref="AN8:AN55" si="29">IFERROR(IF(SUM($T$5:$T$14)&lt;1,"-",IF(AO8=AO7,AN7+1,VLOOKUP(AO8,$P$5:$U$14,5,FALSE))),"-")</f>
        <v>-</v>
      </c>
      <c r="AO8" s="9" t="str">
        <f t="shared" si="16"/>
        <v>-</v>
      </c>
      <c r="AP8" s="289" t="str">
        <f t="shared" si="17"/>
        <v>-</v>
      </c>
      <c r="AQ8" s="9" t="str">
        <f t="shared" si="18"/>
        <v>-</v>
      </c>
      <c r="AR8" s="453"/>
      <c r="AS8" s="453"/>
      <c r="AT8" s="229" t="str">
        <f t="shared" si="19"/>
        <v>-</v>
      </c>
      <c r="AU8" s="290" t="str">
        <f t="shared" si="20"/>
        <v>N/A</v>
      </c>
      <c r="AV8" s="453"/>
      <c r="AW8" s="290" t="str">
        <f t="shared" si="7"/>
        <v>N/A</v>
      </c>
      <c r="AX8" s="453"/>
      <c r="AY8" s="290" t="str">
        <f t="shared" si="21"/>
        <v>N/A</v>
      </c>
      <c r="AZ8" s="453"/>
      <c r="BA8" s="291" t="str">
        <f t="shared" si="22"/>
        <v>N/A</v>
      </c>
      <c r="BB8" s="292" t="str">
        <f t="shared" si="23"/>
        <v>-</v>
      </c>
      <c r="BC8" s="512" t="str">
        <f t="shared" si="24"/>
        <v>-</v>
      </c>
      <c r="BD8" s="293" t="str">
        <f t="shared" si="25"/>
        <v>-</v>
      </c>
      <c r="BE8" s="293" t="str">
        <f t="shared" si="26"/>
        <v>-</v>
      </c>
      <c r="BF8" s="294" t="str">
        <f t="shared" si="27"/>
        <v>-</v>
      </c>
      <c r="BG8" s="9"/>
      <c r="BH8" s="9"/>
      <c r="BI8" s="9"/>
      <c r="BJ8" s="9"/>
      <c r="BM8" s="9"/>
      <c r="BN8" s="476" t="s">
        <v>293</v>
      </c>
      <c r="BO8" s="477"/>
      <c r="BP8" s="477"/>
      <c r="BQ8" s="311">
        <f>IF($BP8-$BO8&gt;0,$BP8-$BO8,0)</f>
        <v>0</v>
      </c>
      <c r="BR8" s="312">
        <f>IF(ISBLANK(BO8),0,IF(AND(Feed!D$3&gt;$BP8,$BP8&gt;Feed!C$3),$BQ8,MAX(MIN($BP8,Feed!D$3)-$BO8,0)))</f>
        <v>0</v>
      </c>
      <c r="BS8" s="312">
        <f>IF(ISBLANK(BO8),0,IF(AND(Feed!E$3&gt;$BP8,$BP8&gt;Feed!D$3),$BQ8,MAX(MIN($BP8,Feed!E$3)-$BO8-BR8,0)))</f>
        <v>0</v>
      </c>
      <c r="BT8" s="312">
        <f>IF(AND(Feed!F$3&gt;$BP8,$BP8&gt;Feed!E$3),$BQ8,MAX(MIN($BP8,Feed!F$3)-$BO8-BS8-BR8,0))</f>
        <v>0</v>
      </c>
      <c r="BU8" s="312">
        <f>IF(AND(Feed!G$3&gt;$BP8,$BP8&gt;Feed!F$3),$BQ8,MAX(MIN($BP8,Feed!G$3)-$BO8-BT8-BS8-BR8,0))</f>
        <v>0</v>
      </c>
      <c r="BV8" s="313">
        <f>CH25</f>
        <v>0</v>
      </c>
      <c r="BW8" s="507">
        <f>CH23</f>
        <v>78.359787947924048</v>
      </c>
      <c r="BX8" s="313">
        <f>IF($BV8=0,0,$BV8-$BW8)</f>
        <v>0</v>
      </c>
      <c r="BY8" s="315" t="str">
        <f>CF23</f>
        <v>-</v>
      </c>
      <c r="BZ8" s="9"/>
      <c r="CA8" s="476"/>
      <c r="CB8" s="515">
        <f>IFERROR(VLOOKUP(CA8,Feed!$B$4:$H$19,2,FALSE)*($BR$7/$BQ$7)+VLOOKUP(CA8,Feed!$B$4:$H$19,3,FALSE)*($BS$7/$BQ$7)+VLOOKUP(CA8,Feed!$B$4:$H$19,4,FALSE)*($BT$7/$BQ$7)+VLOOKUP(CA8,Feed!$B$4:$H$19,5,FALSE)*($BU$7/$BQ$7),0)</f>
        <v>0</v>
      </c>
      <c r="CC8" s="299" t="str">
        <f t="shared" si="8"/>
        <v>-</v>
      </c>
      <c r="CD8" s="299" t="str">
        <f t="shared" si="9"/>
        <v>-</v>
      </c>
      <c r="CE8" s="482"/>
      <c r="CF8" s="299" t="str">
        <f t="shared" si="28"/>
        <v>-</v>
      </c>
      <c r="CG8" s="300">
        <f t="shared" si="10"/>
        <v>0</v>
      </c>
      <c r="CH8" s="301" t="str">
        <f t="shared" si="11"/>
        <v>-</v>
      </c>
      <c r="CI8" s="9"/>
      <c r="CL8" s="9"/>
      <c r="CM8" s="254" t="str">
        <f>CA38</f>
        <v>-</v>
      </c>
      <c r="CN8" s="275">
        <f t="shared" si="12"/>
        <v>0</v>
      </c>
      <c r="CO8" s="276">
        <f>CG46</f>
        <v>0</v>
      </c>
      <c r="CP8" s="277">
        <f>CE46</f>
        <v>0</v>
      </c>
      <c r="CQ8" s="302">
        <f>IFERROR(CH47,0)</f>
        <v>0</v>
      </c>
      <c r="CR8" s="9"/>
      <c r="CS8" s="9"/>
      <c r="CV8" s="9"/>
      <c r="CW8" s="484"/>
      <c r="CX8" s="485"/>
      <c r="CY8" s="487"/>
      <c r="CZ8" s="487"/>
      <c r="DA8" s="485"/>
      <c r="DB8" s="278">
        <f t="shared" si="13"/>
        <v>0</v>
      </c>
      <c r="DC8" s="9"/>
      <c r="DD8" s="9"/>
      <c r="DE8" s="9"/>
      <c r="DF8" s="9"/>
      <c r="DI8" s="9"/>
      <c r="DJ8" s="484"/>
      <c r="DK8" s="485"/>
      <c r="DL8" s="9" t="str">
        <f t="shared" si="0"/>
        <v>-</v>
      </c>
      <c r="DM8" s="485"/>
      <c r="DN8" s="485"/>
      <c r="DO8" s="279" t="str">
        <f t="shared" si="14"/>
        <v/>
      </c>
      <c r="DP8" s="485"/>
      <c r="DQ8" s="278" t="str">
        <f t="shared" si="15"/>
        <v/>
      </c>
      <c r="DR8" s="9"/>
      <c r="DS8" s="303">
        <f>AX2</f>
        <v>0</v>
      </c>
      <c r="DT8" s="9"/>
      <c r="DU8" s="9"/>
      <c r="DX8" s="9"/>
      <c r="DY8" s="304" t="s">
        <v>244</v>
      </c>
      <c r="DZ8" s="306"/>
      <c r="EA8" s="306"/>
      <c r="EB8" s="307" t="str">
        <f>IFERROR(-(SUM(AS57:AZ57)*EB6)/R15,"-")</f>
        <v>-</v>
      </c>
      <c r="EC8" s="9"/>
      <c r="ED8" s="9"/>
      <c r="EE8" s="9"/>
      <c r="EF8" s="9"/>
      <c r="EJ8" s="9"/>
      <c r="EK8" s="281" t="s">
        <v>266</v>
      </c>
      <c r="EL8" s="497">
        <f>IFERROR((EB24-EB7-EB8-EB9)/MAX(AZ56,AX56,AV56,AS56,AR56),)</f>
        <v>0</v>
      </c>
      <c r="EM8" s="9"/>
      <c r="EN8" s="9"/>
      <c r="EO8" s="9"/>
      <c r="EP8" s="9"/>
    </row>
    <row r="9" spans="1:146" ht="18.95" customHeight="1" x14ac:dyDescent="0.25">
      <c r="A9" s="614" t="s">
        <v>281</v>
      </c>
      <c r="B9" s="615"/>
      <c r="C9" s="615"/>
      <c r="D9" s="615"/>
      <c r="E9" s="615"/>
      <c r="F9" s="616"/>
      <c r="G9" s="283"/>
      <c r="H9" s="284"/>
      <c r="I9" s="318" t="s">
        <v>39</v>
      </c>
      <c r="J9" s="456"/>
      <c r="K9" s="319" t="s">
        <v>55</v>
      </c>
      <c r="L9" s="284"/>
      <c r="M9" s="283"/>
      <c r="N9" s="283"/>
      <c r="O9" s="259">
        <f>SUM(R5:R9)</f>
        <v>0</v>
      </c>
      <c r="P9" s="260">
        <v>5</v>
      </c>
      <c r="Q9" s="461"/>
      <c r="R9" s="287">
        <f t="shared" si="1"/>
        <v>0</v>
      </c>
      <c r="S9" s="467"/>
      <c r="T9" s="464"/>
      <c r="U9" s="465"/>
      <c r="V9" s="468"/>
      <c r="W9" s="467"/>
      <c r="X9" s="262">
        <f t="shared" si="2"/>
        <v>0</v>
      </c>
      <c r="Y9" s="263" t="str">
        <f t="shared" si="3"/>
        <v>-</v>
      </c>
      <c r="Z9" s="264">
        <v>5</v>
      </c>
      <c r="AA9" s="474"/>
      <c r="AB9" s="474"/>
      <c r="AC9" s="467"/>
      <c r="AD9" s="262">
        <f t="shared" si="4"/>
        <v>0</v>
      </c>
      <c r="AE9" s="265" t="str">
        <f t="shared" si="5"/>
        <v>-</v>
      </c>
      <c r="AF9" s="266" t="str">
        <f t="shared" si="6"/>
        <v>-</v>
      </c>
      <c r="AG9" s="9"/>
      <c r="AH9" s="259" t="s">
        <v>367</v>
      </c>
      <c r="AI9" s="9"/>
      <c r="AJ9" s="9"/>
      <c r="AK9" s="9"/>
      <c r="AL9" s="283"/>
      <c r="AM9" s="259">
        <v>4</v>
      </c>
      <c r="AN9" s="310" t="str">
        <f t="shared" si="29"/>
        <v>-</v>
      </c>
      <c r="AO9" s="9" t="str">
        <f t="shared" si="16"/>
        <v>-</v>
      </c>
      <c r="AP9" s="289" t="str">
        <f t="shared" si="17"/>
        <v>-</v>
      </c>
      <c r="AQ9" s="9" t="str">
        <f t="shared" si="18"/>
        <v>-</v>
      </c>
      <c r="AR9" s="453"/>
      <c r="AS9" s="453"/>
      <c r="AT9" s="229" t="str">
        <f t="shared" si="19"/>
        <v>-</v>
      </c>
      <c r="AU9" s="290" t="str">
        <f t="shared" si="20"/>
        <v>N/A</v>
      </c>
      <c r="AV9" s="453"/>
      <c r="AW9" s="290" t="str">
        <f t="shared" si="7"/>
        <v>N/A</v>
      </c>
      <c r="AX9" s="453"/>
      <c r="AY9" s="290" t="str">
        <f t="shared" si="21"/>
        <v>N/A</v>
      </c>
      <c r="AZ9" s="453"/>
      <c r="BA9" s="291" t="str">
        <f t="shared" si="22"/>
        <v>N/A</v>
      </c>
      <c r="BB9" s="292" t="str">
        <f t="shared" si="23"/>
        <v>-</v>
      </c>
      <c r="BC9" s="512" t="str">
        <f t="shared" si="24"/>
        <v>-</v>
      </c>
      <c r="BD9" s="293" t="str">
        <f t="shared" si="25"/>
        <v>-</v>
      </c>
      <c r="BE9" s="293" t="str">
        <f t="shared" si="26"/>
        <v>-</v>
      </c>
      <c r="BF9" s="294" t="str">
        <f t="shared" si="27"/>
        <v>-</v>
      </c>
      <c r="BG9" s="9"/>
      <c r="BH9" s="9"/>
      <c r="BI9" s="9"/>
      <c r="BJ9" s="9"/>
      <c r="BM9" s="9"/>
      <c r="BN9" s="476" t="s">
        <v>293</v>
      </c>
      <c r="BO9" s="477"/>
      <c r="BP9" s="477"/>
      <c r="BQ9" s="311">
        <f>IF($BP9-$BO9&gt;0,$BP9-$BO9,0)</f>
        <v>0</v>
      </c>
      <c r="BR9" s="312">
        <f>IF(ISBLANK(BO9),0,IF(AND(Feed!D$3&gt;$BP9,$BP9&gt;Feed!C$3),$BQ9,MAX(MIN($BP9,Feed!D$3)-$BO9,0)))</f>
        <v>0</v>
      </c>
      <c r="BS9" s="312">
        <f>IF(ISBLANK(BO9),0,IF(AND(Feed!E$3&gt;$BP9,$BP9&gt;Feed!D$3),$BQ9,MAX(MIN($BP9,Feed!E$3)-$BO9-BR9,0)))</f>
        <v>0</v>
      </c>
      <c r="BT9" s="312">
        <f>IF(AND(Feed!F$3&gt;$BP9,$BP9&gt;Feed!E$3),$BQ9,MAX(MIN($BP9,Feed!F$3)-$BO9-BS9-BR9,0))</f>
        <v>0</v>
      </c>
      <c r="BU9" s="312">
        <f>IF(AND(Feed!G$3&gt;$BP9,$BP9&gt;Feed!F$3),$BQ9,MAX(MIN($BP9,Feed!G$3)-$BO9-BT9-BT9-BS9-BR9,0))</f>
        <v>0</v>
      </c>
      <c r="BV9" s="313">
        <f>CH36</f>
        <v>0</v>
      </c>
      <c r="BW9" s="507">
        <f>CH34</f>
        <v>78.359787947924048</v>
      </c>
      <c r="BX9" s="313">
        <f>IF($BV9=0,0,$BV9-$BW9)</f>
        <v>0</v>
      </c>
      <c r="BY9" s="315" t="str">
        <f>CF34</f>
        <v>-</v>
      </c>
      <c r="BZ9" s="9"/>
      <c r="CA9" s="476"/>
      <c r="CB9" s="515">
        <f>IFERROR(VLOOKUP(CA9,Feed!$B$4:$H$19,2,FALSE)*($BR$7/$BQ$7)+VLOOKUP(CA9,Feed!$B$4:$H$19,3,FALSE)*($BS$7/$BQ$7)+VLOOKUP(CA9,Feed!$B$4:$H$19,4,FALSE)*($BT$7/$BQ$7)+VLOOKUP(CA9,Feed!$B$4:$H$19,5,FALSE)*($BU$7/$BQ$7),0)</f>
        <v>0</v>
      </c>
      <c r="CC9" s="299" t="str">
        <f t="shared" si="8"/>
        <v>-</v>
      </c>
      <c r="CD9" s="299" t="str">
        <f t="shared" si="9"/>
        <v>-</v>
      </c>
      <c r="CE9" s="482"/>
      <c r="CF9" s="299" t="str">
        <f t="shared" si="28"/>
        <v>-</v>
      </c>
      <c r="CG9" s="300">
        <f t="shared" si="10"/>
        <v>0</v>
      </c>
      <c r="CH9" s="301" t="str">
        <f t="shared" si="11"/>
        <v>-</v>
      </c>
      <c r="CI9" s="9"/>
      <c r="CL9" s="9"/>
      <c r="CM9" s="254" t="str">
        <f>CA49</f>
        <v>-</v>
      </c>
      <c r="CN9" s="275">
        <f t="shared" si="12"/>
        <v>0</v>
      </c>
      <c r="CO9" s="276">
        <f>CG57</f>
        <v>0</v>
      </c>
      <c r="CP9" s="277">
        <f>CE57</f>
        <v>0</v>
      </c>
      <c r="CQ9" s="302">
        <f>IFERROR(CH58,0)</f>
        <v>0</v>
      </c>
      <c r="CR9" s="320"/>
      <c r="CS9" s="9"/>
      <c r="CV9" s="9"/>
      <c r="CW9" s="484"/>
      <c r="CX9" s="485"/>
      <c r="CY9" s="487"/>
      <c r="CZ9" s="487"/>
      <c r="DA9" s="485"/>
      <c r="DB9" s="278">
        <f t="shared" si="13"/>
        <v>0</v>
      </c>
      <c r="DC9" s="9"/>
      <c r="DD9" s="9"/>
      <c r="DE9" s="9"/>
      <c r="DF9" s="9"/>
      <c r="DI9" s="9"/>
      <c r="DJ9" s="484"/>
      <c r="DK9" s="485"/>
      <c r="DL9" s="9" t="str">
        <f t="shared" si="0"/>
        <v>-</v>
      </c>
      <c r="DM9" s="485"/>
      <c r="DN9" s="485"/>
      <c r="DO9" s="279" t="str">
        <f t="shared" si="14"/>
        <v/>
      </c>
      <c r="DP9" s="485"/>
      <c r="DQ9" s="278" t="str">
        <f t="shared" si="15"/>
        <v/>
      </c>
      <c r="DR9" s="9"/>
      <c r="DS9" s="303">
        <f>AZ2</f>
        <v>0</v>
      </c>
      <c r="DT9" s="9"/>
      <c r="DU9" s="9"/>
      <c r="DX9" s="9"/>
      <c r="DY9" s="304" t="s">
        <v>242</v>
      </c>
      <c r="DZ9" s="306" t="str">
        <f>J12*100&amp;"% of total sales"</f>
        <v>0% of total sales</v>
      </c>
      <c r="EA9" s="306"/>
      <c r="EB9" s="307" t="str">
        <f>IFERROR(-J12*(EB6-EB7-EB8),"-")</f>
        <v>-</v>
      </c>
      <c r="EC9" s="9"/>
      <c r="ED9" s="9"/>
      <c r="EE9" s="9"/>
      <c r="EF9" s="9"/>
      <c r="EJ9" s="9"/>
      <c r="EK9" s="281" t="s">
        <v>267</v>
      </c>
      <c r="EL9" s="498" cm="1">
        <f t="array" ref="EL9">IFERROR(SUM(EB13:EB23,-EB7:EB8)/BB56,)</f>
        <v>0</v>
      </c>
      <c r="EM9" s="9"/>
      <c r="EN9" s="9"/>
      <c r="EO9" s="320"/>
      <c r="EP9" s="9"/>
    </row>
    <row r="10" spans="1:146" ht="18.75" x14ac:dyDescent="0.25">
      <c r="A10" s="614" t="s">
        <v>263</v>
      </c>
      <c r="B10" s="615"/>
      <c r="C10" s="615"/>
      <c r="D10" s="615"/>
      <c r="E10" s="615"/>
      <c r="F10" s="616"/>
      <c r="G10" s="283"/>
      <c r="H10" s="284"/>
      <c r="I10" s="318" t="s">
        <v>276</v>
      </c>
      <c r="J10" s="456"/>
      <c r="K10" s="319" t="s">
        <v>46</v>
      </c>
      <c r="L10" s="284"/>
      <c r="M10" s="283"/>
      <c r="N10" s="283"/>
      <c r="O10" s="259">
        <f>SUM(R5:R10)</f>
        <v>0</v>
      </c>
      <c r="P10" s="260">
        <v>6</v>
      </c>
      <c r="Q10" s="461"/>
      <c r="R10" s="287">
        <f t="shared" si="1"/>
        <v>0</v>
      </c>
      <c r="S10" s="467"/>
      <c r="T10" s="464"/>
      <c r="U10" s="465"/>
      <c r="V10" s="468"/>
      <c r="W10" s="467"/>
      <c r="X10" s="262">
        <f t="shared" si="2"/>
        <v>0</v>
      </c>
      <c r="Y10" s="263" t="str">
        <f t="shared" si="3"/>
        <v>-</v>
      </c>
      <c r="Z10" s="264">
        <v>6</v>
      </c>
      <c r="AA10" s="474"/>
      <c r="AB10" s="474"/>
      <c r="AC10" s="467"/>
      <c r="AD10" s="262">
        <f t="shared" si="4"/>
        <v>0</v>
      </c>
      <c r="AE10" s="265" t="str">
        <f t="shared" si="5"/>
        <v>-</v>
      </c>
      <c r="AF10" s="266" t="str">
        <f t="shared" si="6"/>
        <v>-</v>
      </c>
      <c r="AG10" s="9"/>
      <c r="AH10" s="259" t="s">
        <v>368</v>
      </c>
      <c r="AI10" s="9"/>
      <c r="AJ10" s="9"/>
      <c r="AK10" s="9"/>
      <c r="AL10" s="283"/>
      <c r="AM10" s="259">
        <v>5</v>
      </c>
      <c r="AN10" s="310" t="str">
        <f t="shared" si="29"/>
        <v>-</v>
      </c>
      <c r="AO10" s="9" t="str">
        <f t="shared" si="16"/>
        <v>-</v>
      </c>
      <c r="AP10" s="289" t="str">
        <f t="shared" si="17"/>
        <v>-</v>
      </c>
      <c r="AQ10" s="9" t="str">
        <f t="shared" si="18"/>
        <v>-</v>
      </c>
      <c r="AR10" s="453"/>
      <c r="AS10" s="453"/>
      <c r="AT10" s="229" t="str">
        <f t="shared" si="19"/>
        <v>-</v>
      </c>
      <c r="AU10" s="290" t="str">
        <f t="shared" si="20"/>
        <v>N/A</v>
      </c>
      <c r="AV10" s="453"/>
      <c r="AW10" s="290" t="str">
        <f t="shared" si="7"/>
        <v>N/A</v>
      </c>
      <c r="AX10" s="453"/>
      <c r="AY10" s="290" t="str">
        <f t="shared" si="21"/>
        <v>N/A</v>
      </c>
      <c r="AZ10" s="453"/>
      <c r="BA10" s="291" t="str">
        <f t="shared" si="22"/>
        <v>N/A</v>
      </c>
      <c r="BB10" s="292" t="str">
        <f t="shared" si="23"/>
        <v>-</v>
      </c>
      <c r="BC10" s="512" t="str">
        <f t="shared" si="24"/>
        <v>-</v>
      </c>
      <c r="BD10" s="293" t="str">
        <f t="shared" si="25"/>
        <v>-</v>
      </c>
      <c r="BE10" s="293" t="str">
        <f t="shared" si="26"/>
        <v>-</v>
      </c>
      <c r="BF10" s="294" t="str">
        <f t="shared" si="27"/>
        <v>-</v>
      </c>
      <c r="BG10" s="9"/>
      <c r="BH10" s="9"/>
      <c r="BI10" s="9"/>
      <c r="BJ10" s="9"/>
      <c r="BM10" s="9"/>
      <c r="BN10" s="476" t="s">
        <v>293</v>
      </c>
      <c r="BO10" s="478"/>
      <c r="BP10" s="478"/>
      <c r="BQ10" s="311">
        <f>IF($BP10-$BO10&gt;0,$BP10-$BO10,0)</f>
        <v>0</v>
      </c>
      <c r="BR10" s="312">
        <f>IF(ISBLANK(BO10),0,IF(AND(Feed!D$3&gt;$BP10,$BP10&gt;Feed!C$3),$BQ10,MAX(MIN($BP10,Feed!D$3)-$BO10,0)))</f>
        <v>0</v>
      </c>
      <c r="BS10" s="312">
        <f>IF(ISBLANK(BO10),0,IF(AND(Feed!E$3&gt;$BP10,$BP10&gt;Feed!D$3),$BQ10,MAX(MIN($BP10,Feed!E$3)-$BO10-BR10,0)))</f>
        <v>0</v>
      </c>
      <c r="BT10" s="312">
        <f>IF(AND(Feed!F$3&gt;$BP10,$BP10&gt;Feed!E$3),$BQ10,MAX(MIN($BP10,Feed!F$3)-$BO10-BS10-BR10,0))</f>
        <v>0</v>
      </c>
      <c r="BU10" s="312">
        <f>IF(AND(Feed!G$3&gt;$BP10,$BP10&gt;Feed!F$3),$BQ10,MAX(MIN($BP10,Feed!G$3)-$BO10-BT10-BS10-BR10,0))</f>
        <v>0</v>
      </c>
      <c r="BV10" s="313">
        <f>CH47</f>
        <v>0</v>
      </c>
      <c r="BW10" s="507">
        <f>CH45</f>
        <v>78.359787947924048</v>
      </c>
      <c r="BX10" s="313">
        <f>IF($BV10=0,0,$BV10-$BW10)</f>
        <v>0</v>
      </c>
      <c r="BY10" s="315" t="str">
        <f>CF45</f>
        <v>-</v>
      </c>
      <c r="BZ10" s="9"/>
      <c r="CA10" s="476"/>
      <c r="CB10" s="515">
        <f>IFERROR(VLOOKUP(CA10,Feed!$B$4:$H$19,2,FALSE)*($BR$7/$BQ$7)+VLOOKUP(CA10,Feed!$B$4:$H$19,3,FALSE)*($BS$7/$BQ$7)+VLOOKUP(CA10,Feed!$B$4:$H$19,4,FALSE)*($BT$7/$BQ$7)+VLOOKUP(CA10,Feed!$B$4:$H$19,5,FALSE)*($BU$7/$BQ$7),0)</f>
        <v>0</v>
      </c>
      <c r="CC10" s="299" t="str">
        <f t="shared" si="8"/>
        <v>-</v>
      </c>
      <c r="CD10" s="299" t="str">
        <f t="shared" si="9"/>
        <v>-</v>
      </c>
      <c r="CE10" s="482"/>
      <c r="CF10" s="299" t="str">
        <f t="shared" si="28"/>
        <v>-</v>
      </c>
      <c r="CG10" s="300">
        <f t="shared" si="10"/>
        <v>0</v>
      </c>
      <c r="CH10" s="301" t="str">
        <f t="shared" si="11"/>
        <v>-</v>
      </c>
      <c r="CI10" s="9"/>
      <c r="CL10" s="9"/>
      <c r="CM10" s="322" t="s">
        <v>4</v>
      </c>
      <c r="CN10" s="323">
        <f>SUM(CN5:CN9)</f>
        <v>0</v>
      </c>
      <c r="CO10" s="324">
        <f>SUM(CO5:CO9)</f>
        <v>0</v>
      </c>
      <c r="CP10" s="9"/>
      <c r="CQ10" s="9"/>
      <c r="CR10" s="9"/>
      <c r="CS10" s="9"/>
      <c r="CV10" s="9"/>
      <c r="CW10" s="484"/>
      <c r="CX10" s="485"/>
      <c r="CY10" s="487"/>
      <c r="CZ10" s="487"/>
      <c r="DA10" s="485"/>
      <c r="DB10" s="278">
        <f t="shared" si="13"/>
        <v>0</v>
      </c>
      <c r="DC10" s="9"/>
      <c r="DD10" s="9"/>
      <c r="DE10" s="9"/>
      <c r="DF10" s="9"/>
      <c r="DI10" s="9"/>
      <c r="DJ10" s="484"/>
      <c r="DK10" s="489"/>
      <c r="DL10" s="9" t="str">
        <f t="shared" si="0"/>
        <v>-</v>
      </c>
      <c r="DM10" s="485"/>
      <c r="DN10" s="485"/>
      <c r="DO10" s="279" t="str">
        <f t="shared" si="14"/>
        <v/>
      </c>
      <c r="DP10" s="485"/>
      <c r="DQ10" s="278" t="str">
        <f t="shared" si="15"/>
        <v/>
      </c>
      <c r="DR10" s="9"/>
      <c r="DS10" s="9"/>
      <c r="DT10" s="9"/>
      <c r="DU10" s="9"/>
      <c r="DX10" s="9"/>
      <c r="DY10" s="325"/>
      <c r="DZ10" s="326"/>
      <c r="EA10" s="326" t="s">
        <v>252</v>
      </c>
      <c r="EB10" s="327">
        <f>SUM(EB6:EB9)</f>
        <v>0</v>
      </c>
      <c r="EC10" s="9"/>
      <c r="ED10" s="9"/>
      <c r="EE10" s="9"/>
      <c r="EF10" s="9"/>
      <c r="EJ10" s="9"/>
      <c r="EK10" s="281" t="s">
        <v>268</v>
      </c>
      <c r="EL10" s="499">
        <f>IFERROR((EB6-EB12)/CO12,)</f>
        <v>0</v>
      </c>
      <c r="EM10" s="9"/>
      <c r="EN10" s="9"/>
      <c r="EO10" s="9"/>
      <c r="EP10" s="9"/>
    </row>
    <row r="11" spans="1:146" ht="18.95" customHeight="1" thickBot="1" x14ac:dyDescent="0.3">
      <c r="A11" s="614" t="s">
        <v>262</v>
      </c>
      <c r="B11" s="615"/>
      <c r="C11" s="615"/>
      <c r="D11" s="615"/>
      <c r="E11" s="615"/>
      <c r="F11" s="616"/>
      <c r="G11" s="283"/>
      <c r="H11" s="284"/>
      <c r="I11" s="318" t="s">
        <v>341</v>
      </c>
      <c r="J11" s="458"/>
      <c r="K11" s="319" t="s">
        <v>342</v>
      </c>
      <c r="L11" s="284"/>
      <c r="M11" s="283"/>
      <c r="N11" s="283"/>
      <c r="O11" s="259">
        <f>SUM(R5:R11)</f>
        <v>0</v>
      </c>
      <c r="P11" s="260">
        <v>7</v>
      </c>
      <c r="Q11" s="461"/>
      <c r="R11" s="287">
        <f t="shared" si="1"/>
        <v>0</v>
      </c>
      <c r="S11" s="467"/>
      <c r="T11" s="464"/>
      <c r="U11" s="465"/>
      <c r="V11" s="468"/>
      <c r="W11" s="467"/>
      <c r="X11" s="262">
        <f t="shared" si="2"/>
        <v>0</v>
      </c>
      <c r="Y11" s="263" t="str">
        <f t="shared" si="3"/>
        <v>-</v>
      </c>
      <c r="Z11" s="264">
        <v>7</v>
      </c>
      <c r="AA11" s="474"/>
      <c r="AB11" s="474"/>
      <c r="AC11" s="467"/>
      <c r="AD11" s="262">
        <f t="shared" si="4"/>
        <v>0</v>
      </c>
      <c r="AE11" s="265" t="str">
        <f t="shared" si="5"/>
        <v>-</v>
      </c>
      <c r="AF11" s="266" t="str">
        <f t="shared" si="6"/>
        <v>-</v>
      </c>
      <c r="AG11" s="9"/>
      <c r="AH11" s="259" t="s">
        <v>369</v>
      </c>
      <c r="AI11" s="9"/>
      <c r="AJ11" s="9"/>
      <c r="AK11" s="9"/>
      <c r="AL11" s="283"/>
      <c r="AM11" s="259">
        <v>6</v>
      </c>
      <c r="AN11" s="310" t="str">
        <f t="shared" si="29"/>
        <v>-</v>
      </c>
      <c r="AO11" s="9" t="str">
        <f t="shared" si="16"/>
        <v>-</v>
      </c>
      <c r="AP11" s="289" t="str">
        <f t="shared" si="17"/>
        <v>-</v>
      </c>
      <c r="AQ11" s="9" t="str">
        <f t="shared" si="18"/>
        <v>-</v>
      </c>
      <c r="AR11" s="453"/>
      <c r="AS11" s="453"/>
      <c r="AT11" s="229" t="str">
        <f t="shared" si="19"/>
        <v>-</v>
      </c>
      <c r="AU11" s="290" t="str">
        <f t="shared" si="20"/>
        <v>N/A</v>
      </c>
      <c r="AV11" s="453"/>
      <c r="AW11" s="290" t="str">
        <f t="shared" si="7"/>
        <v>N/A</v>
      </c>
      <c r="AX11" s="453"/>
      <c r="AY11" s="290" t="str">
        <f t="shared" si="21"/>
        <v>N/A</v>
      </c>
      <c r="AZ11" s="453"/>
      <c r="BA11" s="291" t="str">
        <f t="shared" si="22"/>
        <v>N/A</v>
      </c>
      <c r="BB11" s="292" t="str">
        <f t="shared" si="23"/>
        <v>-</v>
      </c>
      <c r="BC11" s="512" t="str">
        <f t="shared" si="24"/>
        <v>-</v>
      </c>
      <c r="BD11" s="293" t="str">
        <f t="shared" si="25"/>
        <v>-</v>
      </c>
      <c r="BE11" s="293" t="str">
        <f t="shared" si="26"/>
        <v>-</v>
      </c>
      <c r="BF11" s="294" t="str">
        <f t="shared" si="27"/>
        <v>-</v>
      </c>
      <c r="BG11" s="9"/>
      <c r="BH11" s="9"/>
      <c r="BI11" s="9"/>
      <c r="BJ11" s="9"/>
      <c r="BM11" s="9"/>
      <c r="BN11" s="479" t="s">
        <v>293</v>
      </c>
      <c r="BO11" s="480"/>
      <c r="BP11" s="481"/>
      <c r="BQ11" s="329">
        <f>IF($BP11-$BO11&gt;0,$BP11-$BO11,0)</f>
        <v>0</v>
      </c>
      <c r="BR11" s="330">
        <f>IF(ISBLANK(BO11),0,IF(AND(Feed!D$3&gt;$BP11,$BP11&gt;Feed!C$3),$BQ11,MAX(MIN($BP11,Feed!D$3)-$BO11,0)))</f>
        <v>0</v>
      </c>
      <c r="BS11" s="330">
        <f>IF(ISBLANK(BO11),0,IF(AND(Feed!E$3&gt;$BP11,$BP11&gt;Feed!D$3),$BQ11,MAX(MIN($BP11,Feed!E$3)-$BO11-BR11,0)))</f>
        <v>0</v>
      </c>
      <c r="BT11" s="330">
        <f>IF(ISBLANK($BO11),0,IF(OR(Feed!$F$3-$BO11&lt;0,$BP11&lt;Feed!$E$3),0,MIN($BP11,Feed!$F$3)-MAX(Feed!$E$3,$BO11)))</f>
        <v>0</v>
      </c>
      <c r="BU11" s="330">
        <f>IF($BP11&gt;Feed!$F$3,$BP11-Feed!$F$3,0)</f>
        <v>0</v>
      </c>
      <c r="BV11" s="331">
        <f>CH58</f>
        <v>0</v>
      </c>
      <c r="BW11" s="508">
        <f>CH56</f>
        <v>78.359787947924048</v>
      </c>
      <c r="BX11" s="331">
        <f>IF($BV11=0,0,$BV11-$BW11)</f>
        <v>0</v>
      </c>
      <c r="BY11" s="333" t="str">
        <f>CF56</f>
        <v>-</v>
      </c>
      <c r="BZ11" s="9"/>
      <c r="CA11" s="476"/>
      <c r="CB11" s="515">
        <f>IFERROR(VLOOKUP(CA11,Feed!$B$4:$H$19,2,FALSE)*($BR$7/$BQ$7)+VLOOKUP(CA11,Feed!$B$4:$H$19,3,FALSE)*($BS$7/$BQ$7)+VLOOKUP(CA11,Feed!$B$4:$H$19,4,FALSE)*($BT$7/$BQ$7)+VLOOKUP(CA11,Feed!$B$4:$H$19,5,FALSE)*($BU$7/$BQ$7),0)</f>
        <v>0</v>
      </c>
      <c r="CC11" s="299" t="str">
        <f t="shared" si="8"/>
        <v>-</v>
      </c>
      <c r="CD11" s="299" t="str">
        <f t="shared" si="9"/>
        <v>-</v>
      </c>
      <c r="CE11" s="482"/>
      <c r="CF11" s="299" t="str">
        <f t="shared" si="28"/>
        <v>-</v>
      </c>
      <c r="CG11" s="300">
        <f t="shared" si="10"/>
        <v>0</v>
      </c>
      <c r="CH11" s="301" t="str">
        <f t="shared" si="11"/>
        <v>-</v>
      </c>
      <c r="CI11" s="9"/>
      <c r="CL11" s="9"/>
      <c r="CM11" s="254" t="s">
        <v>224</v>
      </c>
      <c r="CN11" s="255"/>
      <c r="CO11" s="276" t="str">
        <f>IFERROR(SUMPRODUCT(CN5:CN9,CP5:CP9)/CN10,"-")</f>
        <v>-</v>
      </c>
      <c r="CP11" s="9"/>
      <c r="CQ11" s="9"/>
      <c r="CR11" s="9"/>
      <c r="CS11" s="9"/>
      <c r="CV11" s="9"/>
      <c r="CW11" s="484"/>
      <c r="CX11" s="485"/>
      <c r="CY11" s="487"/>
      <c r="CZ11" s="487"/>
      <c r="DA11" s="485"/>
      <c r="DB11" s="278">
        <f t="shared" si="13"/>
        <v>0</v>
      </c>
      <c r="DC11" s="9"/>
      <c r="DD11" s="9"/>
      <c r="DE11" s="9"/>
      <c r="DF11" s="9"/>
      <c r="DI11" s="9"/>
      <c r="DJ11" s="484"/>
      <c r="DK11" s="485"/>
      <c r="DL11" s="9" t="str">
        <f t="shared" si="0"/>
        <v>-</v>
      </c>
      <c r="DM11" s="485"/>
      <c r="DN11" s="485"/>
      <c r="DO11" s="279" t="str">
        <f t="shared" si="14"/>
        <v/>
      </c>
      <c r="DP11" s="485"/>
      <c r="DQ11" s="278" t="str">
        <f t="shared" si="15"/>
        <v/>
      </c>
      <c r="DR11" s="9"/>
      <c r="DS11" s="9"/>
      <c r="DT11" s="9"/>
      <c r="DU11" s="9"/>
      <c r="DX11" s="9"/>
      <c r="DY11" s="620" t="s">
        <v>250</v>
      </c>
      <c r="DZ11" s="621"/>
      <c r="EA11" s="621"/>
      <c r="EB11" s="622"/>
      <c r="EC11" s="9"/>
      <c r="ED11" s="9"/>
      <c r="EE11" s="9"/>
      <c r="EF11" s="9"/>
      <c r="EJ11" s="9"/>
      <c r="EK11" s="334" t="s">
        <v>265</v>
      </c>
      <c r="EL11" s="500">
        <f>EB10*R15</f>
        <v>0</v>
      </c>
      <c r="EM11" s="9"/>
      <c r="EN11" s="9"/>
      <c r="EO11" s="9"/>
      <c r="EP11" s="9"/>
    </row>
    <row r="12" spans="1:146" ht="18.95" customHeight="1" x14ac:dyDescent="0.25">
      <c r="A12" s="614" t="s">
        <v>434</v>
      </c>
      <c r="B12" s="615"/>
      <c r="C12" s="615"/>
      <c r="D12" s="615"/>
      <c r="E12" s="615"/>
      <c r="F12" s="616"/>
      <c r="G12" s="283"/>
      <c r="H12" s="284"/>
      <c r="I12" s="318" t="s">
        <v>96</v>
      </c>
      <c r="J12" s="459"/>
      <c r="K12" s="336" t="s">
        <v>56</v>
      </c>
      <c r="L12" s="284"/>
      <c r="M12" s="283"/>
      <c r="N12" s="283"/>
      <c r="O12" s="259">
        <f>SUM(R5:R12)</f>
        <v>0</v>
      </c>
      <c r="P12" s="260">
        <v>8</v>
      </c>
      <c r="Q12" s="461"/>
      <c r="R12" s="287">
        <f t="shared" si="1"/>
        <v>0</v>
      </c>
      <c r="S12" s="467"/>
      <c r="T12" s="464"/>
      <c r="U12" s="465"/>
      <c r="V12" s="468"/>
      <c r="W12" s="467"/>
      <c r="X12" s="262">
        <f t="shared" si="2"/>
        <v>0</v>
      </c>
      <c r="Y12" s="263" t="str">
        <f t="shared" si="3"/>
        <v>-</v>
      </c>
      <c r="Z12" s="264">
        <v>8</v>
      </c>
      <c r="AA12" s="474"/>
      <c r="AB12" s="474"/>
      <c r="AC12" s="467"/>
      <c r="AD12" s="262">
        <f t="shared" si="4"/>
        <v>0</v>
      </c>
      <c r="AE12" s="265" t="str">
        <f t="shared" si="5"/>
        <v>-</v>
      </c>
      <c r="AF12" s="266" t="str">
        <f t="shared" si="6"/>
        <v>-</v>
      </c>
      <c r="AG12" s="9"/>
      <c r="AH12" s="9"/>
      <c r="AI12" s="9"/>
      <c r="AJ12" s="9"/>
      <c r="AK12" s="9"/>
      <c r="AL12" s="283"/>
      <c r="AM12" s="259">
        <v>7</v>
      </c>
      <c r="AN12" s="310" t="str">
        <f t="shared" si="29"/>
        <v>-</v>
      </c>
      <c r="AO12" s="9" t="str">
        <f t="shared" si="16"/>
        <v>-</v>
      </c>
      <c r="AP12" s="289" t="str">
        <f t="shared" si="17"/>
        <v>-</v>
      </c>
      <c r="AQ12" s="9" t="str">
        <f t="shared" si="18"/>
        <v>-</v>
      </c>
      <c r="AR12" s="453"/>
      <c r="AS12" s="453"/>
      <c r="AT12" s="229" t="str">
        <f t="shared" si="19"/>
        <v>-</v>
      </c>
      <c r="AU12" s="290" t="str">
        <f t="shared" si="20"/>
        <v>N/A</v>
      </c>
      <c r="AV12" s="453"/>
      <c r="AW12" s="290" t="str">
        <f t="shared" si="7"/>
        <v>N/A</v>
      </c>
      <c r="AX12" s="453"/>
      <c r="AY12" s="290" t="str">
        <f t="shared" si="21"/>
        <v>N/A</v>
      </c>
      <c r="AZ12" s="453"/>
      <c r="BA12" s="291" t="str">
        <f t="shared" si="22"/>
        <v>N/A</v>
      </c>
      <c r="BB12" s="292" t="str">
        <f t="shared" si="23"/>
        <v>-</v>
      </c>
      <c r="BC12" s="512" t="str">
        <f t="shared" si="24"/>
        <v>-</v>
      </c>
      <c r="BD12" s="293" t="str">
        <f t="shared" si="25"/>
        <v>-</v>
      </c>
      <c r="BE12" s="293" t="str">
        <f t="shared" si="26"/>
        <v>-</v>
      </c>
      <c r="BF12" s="294" t="str">
        <f t="shared" si="27"/>
        <v>-</v>
      </c>
      <c r="BG12" s="9"/>
      <c r="BH12" s="9"/>
      <c r="BI12" s="9"/>
      <c r="BJ12" s="9"/>
      <c r="BM12" s="9"/>
      <c r="BN12" s="9"/>
      <c r="BO12" s="9"/>
      <c r="BP12" s="9" t="s">
        <v>370</v>
      </c>
      <c r="BQ12" s="337">
        <f>SUM(BQ7:BQ11)</f>
        <v>0</v>
      </c>
      <c r="BR12" s="9"/>
      <c r="BS12" s="9"/>
      <c r="BT12" s="9"/>
      <c r="BU12" s="9"/>
      <c r="BV12" s="9"/>
      <c r="BW12" s="9"/>
      <c r="BX12" s="9"/>
      <c r="BY12" s="9"/>
      <c r="BZ12" s="9"/>
      <c r="CA12" s="338" t="s">
        <v>330</v>
      </c>
      <c r="CB12" s="516">
        <f>'AUM Evaluator'!$S$9*$CB$61</f>
        <v>78.359787947924048</v>
      </c>
      <c r="CC12" s="299">
        <v>1</v>
      </c>
      <c r="CD12" s="340">
        <v>0</v>
      </c>
      <c r="CE12" s="483"/>
      <c r="CF12" s="341" t="str">
        <f t="shared" si="28"/>
        <v>-</v>
      </c>
      <c r="CG12" s="342">
        <f t="shared" si="10"/>
        <v>0</v>
      </c>
      <c r="CH12" s="343">
        <f t="shared" si="11"/>
        <v>78.359787947924048</v>
      </c>
      <c r="CI12" s="9"/>
      <c r="CL12" s="9"/>
      <c r="CM12" s="254" t="s">
        <v>255</v>
      </c>
      <c r="CN12" s="255"/>
      <c r="CO12" s="276">
        <f>MAX(AZ56,AX56,AV56,AS56,AR56)-AR56</f>
        <v>0</v>
      </c>
      <c r="CP12" s="9"/>
      <c r="CQ12" s="9"/>
      <c r="CR12" s="9"/>
      <c r="CS12" s="9"/>
      <c r="CV12" s="9"/>
      <c r="CW12" s="484"/>
      <c r="CX12" s="485"/>
      <c r="CY12" s="487"/>
      <c r="CZ12" s="487"/>
      <c r="DA12" s="485"/>
      <c r="DB12" s="278">
        <f t="shared" si="13"/>
        <v>0</v>
      </c>
      <c r="DC12" s="9"/>
      <c r="DD12" s="9"/>
      <c r="DE12" s="9"/>
      <c r="DF12" s="9"/>
      <c r="DI12" s="9"/>
      <c r="DJ12" s="484"/>
      <c r="DK12" s="485"/>
      <c r="DL12" s="9" t="str">
        <f t="shared" si="0"/>
        <v>-</v>
      </c>
      <c r="DM12" s="485"/>
      <c r="DN12" s="485"/>
      <c r="DO12" s="279" t="str">
        <f t="shared" si="14"/>
        <v/>
      </c>
      <c r="DP12" s="485"/>
      <c r="DQ12" s="278" t="str">
        <f t="shared" si="15"/>
        <v/>
      </c>
      <c r="DR12" s="9"/>
      <c r="DS12" s="9"/>
      <c r="DT12" s="9"/>
      <c r="DU12" s="9"/>
      <c r="DX12" s="9"/>
      <c r="DY12" s="304" t="s">
        <v>232</v>
      </c>
      <c r="DZ12" s="306" t="str">
        <f>ROUND(AR56,0)&amp; " pounds at $"&amp;ROUND(W15/100,2)&amp;" per pound"</f>
        <v>0 pounds at $0 per pound</v>
      </c>
      <c r="EA12" s="306"/>
      <c r="EB12" s="344">
        <f>Y15</f>
        <v>0</v>
      </c>
      <c r="EC12" s="9"/>
      <c r="ED12" s="9"/>
      <c r="EE12" s="9"/>
      <c r="EF12" s="9"/>
      <c r="EJ12" s="9"/>
      <c r="EK12" s="334" t="s">
        <v>259</v>
      </c>
      <c r="EL12" s="500">
        <f>EB10</f>
        <v>0</v>
      </c>
      <c r="EM12" s="9"/>
      <c r="EN12" s="9"/>
      <c r="EO12" s="9"/>
      <c r="EP12" s="9"/>
    </row>
    <row r="13" spans="1:146" ht="18.95" customHeight="1" thickBot="1" x14ac:dyDescent="0.3">
      <c r="G13" s="283"/>
      <c r="H13" s="284"/>
      <c r="I13" s="345" t="s">
        <v>3</v>
      </c>
      <c r="J13" s="460"/>
      <c r="K13" s="346" t="s">
        <v>46</v>
      </c>
      <c r="L13" s="284"/>
      <c r="M13" s="283"/>
      <c r="N13" s="283"/>
      <c r="O13" s="259">
        <f>SUM(R5:R13)</f>
        <v>0</v>
      </c>
      <c r="P13" s="260">
        <v>9</v>
      </c>
      <c r="Q13" s="461"/>
      <c r="R13" s="287">
        <f t="shared" si="1"/>
        <v>0</v>
      </c>
      <c r="S13" s="467"/>
      <c r="T13" s="464"/>
      <c r="U13" s="465"/>
      <c r="V13" s="468"/>
      <c r="W13" s="467"/>
      <c r="X13" s="262">
        <f t="shared" si="2"/>
        <v>0</v>
      </c>
      <c r="Y13" s="263" t="str">
        <f t="shared" si="3"/>
        <v>-</v>
      </c>
      <c r="Z13" s="264">
        <v>9</v>
      </c>
      <c r="AA13" s="474"/>
      <c r="AB13" s="474"/>
      <c r="AC13" s="467"/>
      <c r="AD13" s="262">
        <f t="shared" si="4"/>
        <v>0</v>
      </c>
      <c r="AE13" s="265" t="str">
        <f t="shared" si="5"/>
        <v>-</v>
      </c>
      <c r="AF13" s="266" t="str">
        <f t="shared" si="6"/>
        <v>-</v>
      </c>
      <c r="AG13" s="9"/>
      <c r="AH13" s="9"/>
      <c r="AI13" s="9"/>
      <c r="AJ13" s="9"/>
      <c r="AK13" s="9"/>
      <c r="AL13" s="283"/>
      <c r="AM13" s="259">
        <v>8</v>
      </c>
      <c r="AN13" s="310" t="str">
        <f t="shared" si="29"/>
        <v>-</v>
      </c>
      <c r="AO13" s="9" t="str">
        <f t="shared" si="16"/>
        <v>-</v>
      </c>
      <c r="AP13" s="289" t="str">
        <f t="shared" si="17"/>
        <v>-</v>
      </c>
      <c r="AQ13" s="9" t="str">
        <f t="shared" si="18"/>
        <v>-</v>
      </c>
      <c r="AR13" s="453"/>
      <c r="AS13" s="453"/>
      <c r="AT13" s="229" t="str">
        <f t="shared" si="19"/>
        <v>-</v>
      </c>
      <c r="AU13" s="290" t="str">
        <f t="shared" si="20"/>
        <v>N/A</v>
      </c>
      <c r="AV13" s="453"/>
      <c r="AW13" s="290" t="str">
        <f t="shared" si="7"/>
        <v>N/A</v>
      </c>
      <c r="AX13" s="453"/>
      <c r="AY13" s="290" t="str">
        <f t="shared" si="21"/>
        <v>N/A</v>
      </c>
      <c r="AZ13" s="453"/>
      <c r="BA13" s="291" t="str">
        <f t="shared" si="22"/>
        <v>N/A</v>
      </c>
      <c r="BB13" s="292" t="str">
        <f t="shared" si="23"/>
        <v>-</v>
      </c>
      <c r="BC13" s="512" t="str">
        <f t="shared" si="24"/>
        <v>-</v>
      </c>
      <c r="BD13" s="293" t="str">
        <f t="shared" si="25"/>
        <v>-</v>
      </c>
      <c r="BE13" s="293" t="str">
        <f t="shared" si="26"/>
        <v>-</v>
      </c>
      <c r="BF13" s="294" t="str">
        <f t="shared" si="27"/>
        <v>-</v>
      </c>
      <c r="BG13" s="9"/>
      <c r="BH13" s="259" t="s">
        <v>301</v>
      </c>
      <c r="BI13" s="9"/>
      <c r="BJ13" s="9"/>
      <c r="BN13" s="347" t="s">
        <v>293</v>
      </c>
      <c r="BZ13" s="9"/>
      <c r="CA13" s="348"/>
      <c r="CB13" s="349"/>
      <c r="CC13" s="350" t="s">
        <v>58</v>
      </c>
      <c r="CD13" s="351"/>
      <c r="CE13" s="352">
        <f>SUM(CE6:CE12)</f>
        <v>0</v>
      </c>
      <c r="CF13" s="353">
        <f>SUM(CF6:CF12)</f>
        <v>0</v>
      </c>
      <c r="CG13" s="352">
        <f t="shared" si="10"/>
        <v>0</v>
      </c>
      <c r="CH13" s="354"/>
      <c r="CI13" s="9"/>
      <c r="CL13" s="9"/>
      <c r="CM13" s="254" t="s">
        <v>254</v>
      </c>
      <c r="CN13" s="255"/>
      <c r="CO13" s="276" t="str">
        <f>BD56</f>
        <v>-</v>
      </c>
      <c r="CP13" s="9"/>
      <c r="CQ13" s="9"/>
      <c r="CR13" s="9"/>
      <c r="CS13" s="9"/>
      <c r="CV13" s="9"/>
      <c r="CW13" s="484"/>
      <c r="CX13" s="485"/>
      <c r="CY13" s="487"/>
      <c r="CZ13" s="487"/>
      <c r="DA13" s="485"/>
      <c r="DB13" s="278">
        <f t="shared" si="13"/>
        <v>0</v>
      </c>
      <c r="DC13" s="9"/>
      <c r="DD13" s="9"/>
      <c r="DE13" s="9"/>
      <c r="DF13" s="9"/>
      <c r="DI13" s="9"/>
      <c r="DJ13" s="484"/>
      <c r="DK13" s="485"/>
      <c r="DL13" s="9" t="str">
        <f t="shared" si="0"/>
        <v>-</v>
      </c>
      <c r="DM13" s="485"/>
      <c r="DN13" s="485"/>
      <c r="DO13" s="279" t="str">
        <f t="shared" si="14"/>
        <v/>
      </c>
      <c r="DP13" s="485"/>
      <c r="DQ13" s="278" t="str">
        <f t="shared" si="15"/>
        <v/>
      </c>
      <c r="DR13" s="9"/>
      <c r="DS13" s="9"/>
      <c r="DT13" s="9"/>
      <c r="DU13" s="9"/>
      <c r="DX13" s="9"/>
      <c r="DY13" s="304" t="s">
        <v>238</v>
      </c>
      <c r="DZ13" s="306"/>
      <c r="EA13" s="306"/>
      <c r="EB13" s="344">
        <f>J6</f>
        <v>0</v>
      </c>
      <c r="EC13" s="9"/>
      <c r="ED13" s="9"/>
      <c r="EE13" s="9"/>
      <c r="EF13" s="9"/>
      <c r="EJ13" s="9"/>
      <c r="EK13" s="334" t="s">
        <v>128</v>
      </c>
      <c r="EL13" s="501">
        <f>EB24*R15</f>
        <v>0</v>
      </c>
      <c r="EM13" s="9"/>
      <c r="EN13" s="9"/>
      <c r="EO13" s="9"/>
      <c r="EP13" s="9"/>
    </row>
    <row r="14" spans="1:146" ht="18.95" customHeight="1" thickBot="1" x14ac:dyDescent="0.3">
      <c r="H14" s="9"/>
      <c r="I14" s="356"/>
      <c r="J14" s="9"/>
      <c r="K14" s="9"/>
      <c r="L14" s="9"/>
      <c r="O14" s="259">
        <f>SUM(R5:R14)</f>
        <v>0</v>
      </c>
      <c r="P14" s="357">
        <v>10</v>
      </c>
      <c r="Q14" s="462"/>
      <c r="R14" s="358">
        <f t="shared" si="1"/>
        <v>0</v>
      </c>
      <c r="S14" s="469"/>
      <c r="T14" s="470"/>
      <c r="U14" s="471"/>
      <c r="V14" s="472"/>
      <c r="W14" s="473"/>
      <c r="X14" s="359">
        <f t="shared" si="2"/>
        <v>0</v>
      </c>
      <c r="Y14" s="360" t="str">
        <f t="shared" si="3"/>
        <v>-</v>
      </c>
      <c r="Z14" s="527">
        <v>10</v>
      </c>
      <c r="AA14" s="475"/>
      <c r="AB14" s="475"/>
      <c r="AC14" s="473"/>
      <c r="AD14" s="359">
        <f t="shared" si="4"/>
        <v>0</v>
      </c>
      <c r="AE14" s="361" t="str">
        <f t="shared" si="5"/>
        <v>-</v>
      </c>
      <c r="AF14" s="362" t="str">
        <f t="shared" si="6"/>
        <v>-</v>
      </c>
      <c r="AG14" s="9"/>
      <c r="AH14" s="9"/>
      <c r="AI14" s="9"/>
      <c r="AJ14" s="9"/>
      <c r="AK14" s="9"/>
      <c r="AM14" s="259">
        <v>9</v>
      </c>
      <c r="AN14" s="310" t="str">
        <f t="shared" si="29"/>
        <v>-</v>
      </c>
      <c r="AO14" s="9" t="str">
        <f t="shared" si="16"/>
        <v>-</v>
      </c>
      <c r="AP14" s="289" t="str">
        <f t="shared" si="17"/>
        <v>-</v>
      </c>
      <c r="AQ14" s="9" t="str">
        <f t="shared" si="18"/>
        <v>-</v>
      </c>
      <c r="AR14" s="453"/>
      <c r="AS14" s="453"/>
      <c r="AT14" s="229" t="str">
        <f t="shared" si="19"/>
        <v>-</v>
      </c>
      <c r="AU14" s="290" t="str">
        <f t="shared" si="20"/>
        <v>N/A</v>
      </c>
      <c r="AV14" s="453"/>
      <c r="AW14" s="290" t="str">
        <f t="shared" si="7"/>
        <v>N/A</v>
      </c>
      <c r="AX14" s="453"/>
      <c r="AY14" s="290" t="str">
        <f t="shared" si="21"/>
        <v>N/A</v>
      </c>
      <c r="AZ14" s="453"/>
      <c r="BA14" s="291" t="str">
        <f t="shared" si="22"/>
        <v>N/A</v>
      </c>
      <c r="BB14" s="292" t="str">
        <f t="shared" si="23"/>
        <v>-</v>
      </c>
      <c r="BC14" s="512" t="str">
        <f t="shared" si="24"/>
        <v>-</v>
      </c>
      <c r="BD14" s="293" t="str">
        <f t="shared" si="25"/>
        <v>-</v>
      </c>
      <c r="BE14" s="293" t="str">
        <f t="shared" si="26"/>
        <v>-</v>
      </c>
      <c r="BF14" s="294" t="str">
        <f t="shared" si="27"/>
        <v>-</v>
      </c>
      <c r="BG14" s="9"/>
      <c r="BH14" s="259" t="s">
        <v>302</v>
      </c>
      <c r="BI14" s="9"/>
      <c r="BJ14" s="9"/>
      <c r="BN14" s="347" t="s">
        <v>293</v>
      </c>
      <c r="BO14" s="213"/>
      <c r="BP14" s="213"/>
      <c r="BQ14" s="213"/>
      <c r="BR14" s="213"/>
      <c r="BS14" s="213"/>
      <c r="BT14" s="213"/>
      <c r="BU14" s="213"/>
      <c r="BZ14" s="9"/>
      <c r="CA14" s="363"/>
      <c r="CB14" s="364"/>
      <c r="CC14" s="365"/>
      <c r="CD14" s="366" t="s">
        <v>226</v>
      </c>
      <c r="CE14" s="366"/>
      <c r="CF14" s="367"/>
      <c r="CG14" s="367"/>
      <c r="CH14" s="368">
        <f>SUMPRODUCT(CF6:CF12,CH6:CH12,CC6:CC12)</f>
        <v>0</v>
      </c>
      <c r="CI14" s="9"/>
      <c r="CL14" s="9"/>
      <c r="CM14" s="254" t="s">
        <v>257</v>
      </c>
      <c r="CN14" s="255"/>
      <c r="CO14" s="276">
        <f>IFERROR(CO18/CO12,)</f>
        <v>0</v>
      </c>
      <c r="CP14" s="9"/>
      <c r="CQ14" s="9"/>
      <c r="CR14" s="9"/>
      <c r="CS14" s="9"/>
      <c r="CV14" s="9"/>
      <c r="CW14" s="484"/>
      <c r="CX14" s="485"/>
      <c r="CY14" s="487"/>
      <c r="CZ14" s="487"/>
      <c r="DA14" s="485"/>
      <c r="DB14" s="278">
        <f t="shared" si="13"/>
        <v>0</v>
      </c>
      <c r="DC14" s="9"/>
      <c r="DD14" s="9"/>
      <c r="DE14" s="9"/>
      <c r="DF14" s="9"/>
      <c r="DI14" s="9"/>
      <c r="DJ14" s="484"/>
      <c r="DK14" s="485"/>
      <c r="DL14" s="9" t="str">
        <f t="shared" si="0"/>
        <v>-</v>
      </c>
      <c r="DM14" s="485"/>
      <c r="DN14" s="485"/>
      <c r="DO14" s="279" t="str">
        <f t="shared" si="14"/>
        <v/>
      </c>
      <c r="DP14" s="485"/>
      <c r="DQ14" s="278" t="str">
        <f t="shared" si="15"/>
        <v/>
      </c>
      <c r="DR14" s="9"/>
      <c r="DS14" s="9"/>
      <c r="DT14" s="9"/>
      <c r="DU14" s="9"/>
      <c r="DX14" s="9"/>
      <c r="DY14" s="304" t="s">
        <v>122</v>
      </c>
      <c r="DZ14" s="306"/>
      <c r="EA14" s="306"/>
      <c r="EB14" s="344" t="str">
        <f>IFERROR(CO18,)</f>
        <v>-</v>
      </c>
      <c r="EC14" s="9"/>
      <c r="ED14" s="9"/>
      <c r="EE14" s="9"/>
      <c r="EF14" s="9"/>
      <c r="EJ14" s="9"/>
      <c r="EK14" s="334" t="s">
        <v>260</v>
      </c>
      <c r="EL14" s="501">
        <f>EB24</f>
        <v>0</v>
      </c>
      <c r="EM14" s="9"/>
      <c r="EN14" s="9"/>
      <c r="EO14" s="9"/>
      <c r="EP14" s="9"/>
    </row>
    <row r="15" spans="1:146" ht="18.95" customHeight="1" thickBot="1" x14ac:dyDescent="0.3">
      <c r="H15" s="9"/>
      <c r="I15" s="9"/>
      <c r="J15" s="9"/>
      <c r="K15" s="9"/>
      <c r="L15" s="9"/>
      <c r="O15" s="9"/>
      <c r="P15" s="369"/>
      <c r="Q15" s="370" t="s">
        <v>186</v>
      </c>
      <c r="R15" s="370">
        <f>SUM(R5:R14)</f>
        <v>0</v>
      </c>
      <c r="S15" s="370"/>
      <c r="T15" s="370"/>
      <c r="U15" s="370"/>
      <c r="V15" s="371" t="str">
        <f>IFERROR(SUMPRODUCT(R5:R14,V5:V14)/R15,"-")</f>
        <v>-</v>
      </c>
      <c r="W15" s="372">
        <f>IFERROR(AVERAGE(W5:W14),)</f>
        <v>0</v>
      </c>
      <c r="X15" s="372">
        <f>SUM(X5:X14)</f>
        <v>0</v>
      </c>
      <c r="Y15" s="373">
        <f>IFERROR(AVERAGE(Y5:Y14),)</f>
        <v>0</v>
      </c>
      <c r="Z15" s="372"/>
      <c r="AA15" s="374">
        <f>SUM(AA5:AA14)</f>
        <v>0</v>
      </c>
      <c r="AB15" s="371" t="str">
        <f>IFERROR(SUMPRODUCT(AA5:AA14,AB5:AB14)/AA15,"-")</f>
        <v>-</v>
      </c>
      <c r="AC15" s="372">
        <f>IFERROR(SUMPRODUCT(AA5:AA14,AC5:AC14,AB5:AB14)/(AA15*AB15),)</f>
        <v>0</v>
      </c>
      <c r="AD15" s="372">
        <f>SUM(AD5:AD14)</f>
        <v>0</v>
      </c>
      <c r="AE15" s="372">
        <f>IFERROR(AVERAGE(AE5:AE14),)</f>
        <v>0</v>
      </c>
      <c r="AF15" s="373">
        <f>IFERROR(SUMPRODUCT(AF5:AF14,AA5:AA14)/AA15,0)</f>
        <v>0</v>
      </c>
      <c r="AG15" s="9"/>
      <c r="AH15" s="9"/>
      <c r="AI15" s="9"/>
      <c r="AJ15" s="9"/>
      <c r="AK15" s="9"/>
      <c r="AM15" s="259">
        <v>10</v>
      </c>
      <c r="AN15" s="310" t="str">
        <f t="shared" si="29"/>
        <v>-</v>
      </c>
      <c r="AO15" s="9" t="str">
        <f t="shared" si="16"/>
        <v>-</v>
      </c>
      <c r="AP15" s="289" t="str">
        <f t="shared" si="17"/>
        <v>-</v>
      </c>
      <c r="AQ15" s="9" t="str">
        <f t="shared" si="18"/>
        <v>-</v>
      </c>
      <c r="AR15" s="453"/>
      <c r="AS15" s="453"/>
      <c r="AT15" s="229" t="str">
        <f t="shared" si="19"/>
        <v>-</v>
      </c>
      <c r="AU15" s="290" t="str">
        <f t="shared" si="20"/>
        <v>N/A</v>
      </c>
      <c r="AV15" s="453"/>
      <c r="AW15" s="290" t="str">
        <f t="shared" si="7"/>
        <v>N/A</v>
      </c>
      <c r="AX15" s="453"/>
      <c r="AY15" s="290" t="str">
        <f t="shared" si="21"/>
        <v>N/A</v>
      </c>
      <c r="AZ15" s="453"/>
      <c r="BA15" s="291" t="str">
        <f t="shared" si="22"/>
        <v>N/A</v>
      </c>
      <c r="BB15" s="292" t="str">
        <f t="shared" si="23"/>
        <v>-</v>
      </c>
      <c r="BC15" s="512" t="str">
        <f t="shared" si="24"/>
        <v>-</v>
      </c>
      <c r="BD15" s="293" t="str">
        <f t="shared" si="25"/>
        <v>-</v>
      </c>
      <c r="BE15" s="293" t="str">
        <f t="shared" si="26"/>
        <v>-</v>
      </c>
      <c r="BF15" s="294" t="str">
        <f t="shared" si="27"/>
        <v>-</v>
      </c>
      <c r="BG15" s="9"/>
      <c r="BH15" s="9"/>
      <c r="BI15" s="9"/>
      <c r="BJ15" s="9"/>
      <c r="BN15" s="347" t="s">
        <v>293</v>
      </c>
      <c r="BZ15" s="9"/>
      <c r="CA15" s="9" t="s">
        <v>227</v>
      </c>
      <c r="CB15" s="9"/>
      <c r="CC15" s="9"/>
      <c r="CD15" s="9"/>
      <c r="CE15" s="9"/>
      <c r="CF15" s="9"/>
      <c r="CG15" s="9"/>
      <c r="CH15" s="9"/>
      <c r="CI15" s="9"/>
      <c r="CL15" s="9"/>
      <c r="CM15" s="254" t="s">
        <v>207</v>
      </c>
      <c r="CN15" s="255"/>
      <c r="CO15" s="375" t="str">
        <f>IFERROR(SUMPRODUCT(CN5:CN9,CQ5:CQ9)/CN10,"-")</f>
        <v>-</v>
      </c>
      <c r="CP15" s="9"/>
      <c r="CQ15" s="9"/>
      <c r="CR15" s="9"/>
      <c r="CS15" s="9"/>
      <c r="CV15" s="9"/>
      <c r="CW15" s="484"/>
      <c r="CX15" s="485"/>
      <c r="CY15" s="487"/>
      <c r="CZ15" s="487"/>
      <c r="DA15" s="485"/>
      <c r="DB15" s="278">
        <f t="shared" si="13"/>
        <v>0</v>
      </c>
      <c r="DC15" s="9"/>
      <c r="DD15" s="9"/>
      <c r="DE15" s="9"/>
      <c r="DF15" s="9"/>
      <c r="DI15" s="9"/>
      <c r="DJ15" s="484"/>
      <c r="DK15" s="485"/>
      <c r="DL15" s="9" t="str">
        <f t="shared" si="0"/>
        <v>-</v>
      </c>
      <c r="DM15" s="485"/>
      <c r="DN15" s="485"/>
      <c r="DO15" s="279" t="str">
        <f t="shared" si="14"/>
        <v/>
      </c>
      <c r="DP15" s="485"/>
      <c r="DQ15" s="278" t="str">
        <f t="shared" si="15"/>
        <v/>
      </c>
      <c r="DR15" s="9"/>
      <c r="DS15" s="9"/>
      <c r="DT15" s="9"/>
      <c r="DU15" s="9"/>
      <c r="DX15" s="9"/>
      <c r="DY15" s="304"/>
      <c r="DZ15" s="306"/>
      <c r="EA15" s="306"/>
      <c r="EB15" s="344"/>
      <c r="EC15" s="9"/>
      <c r="ED15" s="9"/>
      <c r="EE15" s="9"/>
      <c r="EF15" s="9"/>
      <c r="EJ15" s="9"/>
      <c r="EK15" s="334" t="s">
        <v>353</v>
      </c>
      <c r="EL15" s="501">
        <f>EB25*R15</f>
        <v>0</v>
      </c>
      <c r="EM15" s="9"/>
      <c r="EN15" s="9"/>
      <c r="EO15" s="9"/>
      <c r="EP15" s="9"/>
    </row>
    <row r="16" spans="1:146" ht="31.5" x14ac:dyDescent="0.25">
      <c r="O16" s="9"/>
      <c r="P16" s="9"/>
      <c r="Q16" s="9"/>
      <c r="R16" s="9"/>
      <c r="S16" s="9"/>
      <c r="T16" s="9"/>
      <c r="U16" s="9"/>
      <c r="V16" s="9"/>
      <c r="W16" s="9"/>
      <c r="X16" s="9"/>
      <c r="Y16" s="9"/>
      <c r="Z16" s="9"/>
      <c r="AA16" s="9"/>
      <c r="AB16" s="9"/>
      <c r="AC16" s="9"/>
      <c r="AD16" s="9"/>
      <c r="AE16" s="9"/>
      <c r="AF16" s="9"/>
      <c r="AG16" s="9"/>
      <c r="AH16" s="9"/>
      <c r="AI16" s="9"/>
      <c r="AJ16" s="9"/>
      <c r="AK16" s="9"/>
      <c r="AM16" s="259">
        <v>11</v>
      </c>
      <c r="AN16" s="310" t="str">
        <f t="shared" si="29"/>
        <v>-</v>
      </c>
      <c r="AO16" s="9" t="str">
        <f t="shared" si="16"/>
        <v>-</v>
      </c>
      <c r="AP16" s="289" t="str">
        <f t="shared" si="17"/>
        <v>-</v>
      </c>
      <c r="AQ16" s="9" t="str">
        <f t="shared" si="18"/>
        <v>-</v>
      </c>
      <c r="AR16" s="453"/>
      <c r="AS16" s="453"/>
      <c r="AT16" s="229" t="str">
        <f t="shared" si="19"/>
        <v>-</v>
      </c>
      <c r="AU16" s="290" t="str">
        <f>IFERROR(IF((AS16-AR16)/AT16&lt;-5,"CHECK INPUTS",(AS16-AR16)/AT16),"N/A")</f>
        <v>N/A</v>
      </c>
      <c r="AV16" s="453"/>
      <c r="AW16" s="290" t="str">
        <f t="shared" si="7"/>
        <v>N/A</v>
      </c>
      <c r="AX16" s="453"/>
      <c r="AY16" s="290" t="str">
        <f t="shared" si="21"/>
        <v>N/A</v>
      </c>
      <c r="AZ16" s="453"/>
      <c r="BA16" s="291" t="str">
        <f t="shared" si="22"/>
        <v>N/A</v>
      </c>
      <c r="BB16" s="292" t="str">
        <f t="shared" si="23"/>
        <v>-</v>
      </c>
      <c r="BC16" s="512" t="str">
        <f t="shared" si="24"/>
        <v>-</v>
      </c>
      <c r="BD16" s="293" t="str">
        <f t="shared" si="25"/>
        <v>-</v>
      </c>
      <c r="BE16" s="293" t="str">
        <f t="shared" si="26"/>
        <v>-</v>
      </c>
      <c r="BF16" s="294" t="str">
        <f t="shared" si="27"/>
        <v>-</v>
      </c>
      <c r="BG16" s="9"/>
      <c r="BH16" s="9"/>
      <c r="BI16" s="9"/>
      <c r="BJ16" s="9"/>
      <c r="BN16" s="347" t="s">
        <v>293</v>
      </c>
      <c r="BZ16" s="9"/>
      <c r="CA16" s="273" t="str">
        <f>IF(BN8=BN17,"-",BN8)</f>
        <v>-</v>
      </c>
      <c r="CB16" s="54" t="s">
        <v>328</v>
      </c>
      <c r="CC16" s="54" t="s">
        <v>205</v>
      </c>
      <c r="CD16" s="54" t="s">
        <v>95</v>
      </c>
      <c r="CE16" s="54" t="s">
        <v>326</v>
      </c>
      <c r="CF16" s="54" t="s">
        <v>206</v>
      </c>
      <c r="CG16" s="54" t="s">
        <v>234</v>
      </c>
      <c r="CH16" s="274" t="s">
        <v>209</v>
      </c>
      <c r="CI16" s="9"/>
      <c r="CL16" s="9"/>
      <c r="CM16" s="254" t="s">
        <v>256</v>
      </c>
      <c r="CN16" s="255"/>
      <c r="CO16" s="276" t="str">
        <f>IFERROR(CO10*CO15,"-")</f>
        <v>-</v>
      </c>
      <c r="CP16" s="9"/>
      <c r="CQ16" s="9"/>
      <c r="CR16" s="9"/>
      <c r="CS16" s="9"/>
      <c r="CV16" s="9"/>
      <c r="CW16" s="484"/>
      <c r="CX16" s="485"/>
      <c r="CY16" s="487"/>
      <c r="CZ16" s="487"/>
      <c r="DA16" s="485"/>
      <c r="DB16" s="278">
        <f t="shared" si="13"/>
        <v>0</v>
      </c>
      <c r="DC16" s="9"/>
      <c r="DD16" s="9"/>
      <c r="DE16" s="9"/>
      <c r="DF16" s="9"/>
      <c r="DI16" s="9"/>
      <c r="DJ16" s="484"/>
      <c r="DK16" s="485"/>
      <c r="DL16" s="9" t="str">
        <f t="shared" si="0"/>
        <v>-</v>
      </c>
      <c r="DM16" s="485"/>
      <c r="DN16" s="485"/>
      <c r="DO16" s="279" t="str">
        <f t="shared" si="14"/>
        <v/>
      </c>
      <c r="DP16" s="485"/>
      <c r="DQ16" s="278" t="str">
        <f t="shared" si="15"/>
        <v/>
      </c>
      <c r="DR16" s="9"/>
      <c r="DS16" s="9"/>
      <c r="DT16" s="9"/>
      <c r="DU16" s="9"/>
      <c r="DX16" s="9"/>
      <c r="DY16" s="625" t="s">
        <v>410</v>
      </c>
      <c r="DZ16" s="306" t="s">
        <v>325</v>
      </c>
      <c r="EA16" s="306"/>
      <c r="EB16" s="344">
        <f>DB19</f>
        <v>0</v>
      </c>
      <c r="EC16" s="9"/>
      <c r="ED16" s="9"/>
      <c r="EE16" s="9"/>
      <c r="EF16" s="9"/>
      <c r="EJ16" s="9"/>
      <c r="EK16" s="334" t="s">
        <v>352</v>
      </c>
      <c r="EL16" s="502">
        <f>EB25</f>
        <v>0</v>
      </c>
      <c r="EM16" s="9"/>
      <c r="EN16" s="9"/>
      <c r="EO16" s="9"/>
      <c r="EP16" s="9"/>
    </row>
    <row r="17" spans="39:146" ht="18.95" customHeight="1" thickBot="1" x14ac:dyDescent="0.3">
      <c r="AM17" s="259">
        <v>12</v>
      </c>
      <c r="AN17" s="310" t="str">
        <f t="shared" si="29"/>
        <v>-</v>
      </c>
      <c r="AO17" s="9" t="str">
        <f t="shared" si="16"/>
        <v>-</v>
      </c>
      <c r="AP17" s="289" t="str">
        <f t="shared" si="17"/>
        <v>-</v>
      </c>
      <c r="AQ17" s="9" t="str">
        <f t="shared" si="18"/>
        <v>-</v>
      </c>
      <c r="AR17" s="453"/>
      <c r="AS17" s="453"/>
      <c r="AT17" s="229" t="str">
        <f t="shared" si="19"/>
        <v>-</v>
      </c>
      <c r="AU17" s="290" t="str">
        <f t="shared" si="20"/>
        <v>N/A</v>
      </c>
      <c r="AV17" s="453"/>
      <c r="AW17" s="290" t="str">
        <f t="shared" si="7"/>
        <v>N/A</v>
      </c>
      <c r="AX17" s="453"/>
      <c r="AY17" s="290" t="str">
        <f t="shared" si="21"/>
        <v>N/A</v>
      </c>
      <c r="AZ17" s="453"/>
      <c r="BA17" s="291" t="str">
        <f t="shared" si="22"/>
        <v>N/A</v>
      </c>
      <c r="BB17" s="292" t="str">
        <f t="shared" si="23"/>
        <v>-</v>
      </c>
      <c r="BC17" s="512" t="str">
        <f t="shared" si="24"/>
        <v>-</v>
      </c>
      <c r="BD17" s="293" t="str">
        <f t="shared" si="25"/>
        <v>-</v>
      </c>
      <c r="BE17" s="293" t="str">
        <f t="shared" si="26"/>
        <v>-</v>
      </c>
      <c r="BF17" s="294" t="str">
        <f t="shared" si="27"/>
        <v>-</v>
      </c>
      <c r="BG17" s="9"/>
      <c r="BH17" s="9"/>
      <c r="BI17" s="9"/>
      <c r="BJ17" s="9"/>
      <c r="BN17" s="347" t="s">
        <v>293</v>
      </c>
      <c r="BZ17" s="9"/>
      <c r="CA17" s="476"/>
      <c r="CB17" s="515">
        <f>IFERROR(VLOOKUP(CA17,Feed!$B$4:$H$19,2,FALSE)*($BR$8/$BQ$8)+VLOOKUP(CA17,Feed!$B$4:$H$19,3,FALSE)*($BS$8/$BQ$8)+VLOOKUP(CA17,Feed!$B$4:$H$19,4,FALSE)*($BT$8/$BQ$8)+VLOOKUP(CA17,Feed!$B$4:$H$19,5,FALSE)*($BU$8/$BQ$8),0)</f>
        <v>0</v>
      </c>
      <c r="CC17" s="299" t="str">
        <f t="shared" ref="CC17:CC22" si="30">IFERROR(VLOOKUP($CA17,FeedIngLst,6,FALSE),"-")</f>
        <v>-</v>
      </c>
      <c r="CD17" s="299" t="str">
        <f t="shared" ref="CD17:CD22" si="31">IFERROR(VLOOKUP($CA17,FeedIngLst,7,FALSE),"-")</f>
        <v>-</v>
      </c>
      <c r="CE17" s="482"/>
      <c r="CF17" s="299" t="str">
        <f>IFERROR(CE17/$CE$24,"-")</f>
        <v>-</v>
      </c>
      <c r="CG17" s="300">
        <f t="shared" ref="CG17:CG24" si="32">CE17*$R$15*$BQ$8/2000</f>
        <v>0</v>
      </c>
      <c r="CH17" s="301" t="str">
        <f t="shared" ref="CH17:CH23" si="33">IFERROR($CB17/$CC17/(1-$CD17),"-")</f>
        <v>-</v>
      </c>
      <c r="CI17" s="9"/>
      <c r="CL17" s="9"/>
      <c r="CM17" s="254" t="s">
        <v>233</v>
      </c>
      <c r="CN17" s="255"/>
      <c r="CO17" s="375" t="str">
        <f>IFERROR(CO10/R15,"-")</f>
        <v>-</v>
      </c>
      <c r="CP17" s="9"/>
      <c r="CQ17" s="9"/>
      <c r="CR17" s="9"/>
      <c r="CS17" s="9"/>
      <c r="CV17" s="9"/>
      <c r="CW17" s="484"/>
      <c r="CX17" s="485"/>
      <c r="CY17" s="487"/>
      <c r="CZ17" s="487"/>
      <c r="DA17" s="485"/>
      <c r="DB17" s="278">
        <f t="shared" si="13"/>
        <v>0</v>
      </c>
      <c r="DC17" s="9"/>
      <c r="DD17" s="9"/>
      <c r="DE17" s="9"/>
      <c r="DF17" s="9"/>
      <c r="DI17" s="9"/>
      <c r="DJ17" s="484"/>
      <c r="DK17" s="485"/>
      <c r="DL17" s="9" t="str">
        <f t="shared" si="0"/>
        <v>-</v>
      </c>
      <c r="DM17" s="485"/>
      <c r="DN17" s="485"/>
      <c r="DO17" s="279" t="str">
        <f t="shared" si="14"/>
        <v/>
      </c>
      <c r="DP17" s="485"/>
      <c r="DQ17" s="278" t="str">
        <f t="shared" si="15"/>
        <v/>
      </c>
      <c r="DR17" s="9"/>
      <c r="DS17" s="9"/>
      <c r="DT17" s="9"/>
      <c r="DU17" s="9"/>
      <c r="DX17" s="9"/>
      <c r="DY17" s="625"/>
      <c r="DZ17" s="306" t="s">
        <v>235</v>
      </c>
      <c r="EA17" s="306"/>
      <c r="EB17" s="377" t="str">
        <f>IFERROR(DQ30/R15,"-")</f>
        <v>-</v>
      </c>
      <c r="EC17" s="9"/>
      <c r="ED17" s="9"/>
      <c r="EE17" s="9"/>
      <c r="EF17" s="9"/>
      <c r="EJ17" s="9"/>
      <c r="EK17" s="378" t="s">
        <v>261</v>
      </c>
      <c r="EL17" s="503">
        <f>IFERROR((EL11-EL13)/EL13,)</f>
        <v>0</v>
      </c>
      <c r="EM17" s="9"/>
      <c r="EN17" s="9"/>
      <c r="EO17" s="9"/>
      <c r="EP17" s="9"/>
    </row>
    <row r="18" spans="39:146" ht="18.95" customHeight="1" x14ac:dyDescent="0.25">
      <c r="AM18" s="259">
        <v>13</v>
      </c>
      <c r="AN18" s="310" t="str">
        <f t="shared" si="29"/>
        <v>-</v>
      </c>
      <c r="AO18" s="9" t="str">
        <f t="shared" si="16"/>
        <v>-</v>
      </c>
      <c r="AP18" s="289" t="str">
        <f t="shared" si="17"/>
        <v>-</v>
      </c>
      <c r="AQ18" s="9" t="str">
        <f t="shared" si="18"/>
        <v>-</v>
      </c>
      <c r="AR18" s="453"/>
      <c r="AS18" s="453"/>
      <c r="AT18" s="229" t="str">
        <f t="shared" si="19"/>
        <v>-</v>
      </c>
      <c r="AU18" s="290" t="str">
        <f t="shared" si="20"/>
        <v>N/A</v>
      </c>
      <c r="AV18" s="453"/>
      <c r="AW18" s="290" t="str">
        <f t="shared" si="7"/>
        <v>N/A</v>
      </c>
      <c r="AX18" s="453"/>
      <c r="AY18" s="290" t="str">
        <f t="shared" si="21"/>
        <v>N/A</v>
      </c>
      <c r="AZ18" s="453"/>
      <c r="BA18" s="291" t="str">
        <f t="shared" si="22"/>
        <v>N/A</v>
      </c>
      <c r="BB18" s="292" t="str">
        <f t="shared" si="23"/>
        <v>-</v>
      </c>
      <c r="BC18" s="512" t="str">
        <f t="shared" si="24"/>
        <v>-</v>
      </c>
      <c r="BD18" s="293" t="str">
        <f t="shared" si="25"/>
        <v>-</v>
      </c>
      <c r="BE18" s="293" t="str">
        <f t="shared" si="26"/>
        <v>-</v>
      </c>
      <c r="BF18" s="294" t="str">
        <f t="shared" si="27"/>
        <v>-</v>
      </c>
      <c r="BG18" s="9"/>
      <c r="BH18" s="9"/>
      <c r="BI18" s="9"/>
      <c r="BJ18" s="9"/>
      <c r="BZ18" s="9"/>
      <c r="CA18" s="476"/>
      <c r="CB18" s="515">
        <f>IFERROR(VLOOKUP(CA18,Feed!$B$4:$H$19,2,FALSE)*($BR$8/$BQ$8)+VLOOKUP(CA18,Feed!$B$4:$H$19,3,FALSE)*($BS$8/$BQ$8)+VLOOKUP(CA18,Feed!$B$4:$H$19,4,FALSE)*($BT$8/$BQ$8)+VLOOKUP(CA18,Feed!$B$4:$H$19,5,FALSE)*($BU$8/$BQ$8),0)</f>
        <v>0</v>
      </c>
      <c r="CC18" s="299" t="str">
        <f t="shared" si="30"/>
        <v>-</v>
      </c>
      <c r="CD18" s="299" t="str">
        <f t="shared" si="31"/>
        <v>-</v>
      </c>
      <c r="CE18" s="482"/>
      <c r="CF18" s="299" t="str">
        <f t="shared" ref="CF18:CF23" si="34">IFERROR(CE18/$CE$24,"-")</f>
        <v>-</v>
      </c>
      <c r="CG18" s="300">
        <f t="shared" si="32"/>
        <v>0</v>
      </c>
      <c r="CH18" s="301" t="str">
        <f t="shared" si="33"/>
        <v>-</v>
      </c>
      <c r="CI18" s="9"/>
      <c r="CL18" s="9"/>
      <c r="CM18" s="380" t="s">
        <v>59</v>
      </c>
      <c r="CN18" s="381"/>
      <c r="CO18" s="382" t="str">
        <f>IFERROR(CO16/R15,"-")</f>
        <v>-</v>
      </c>
      <c r="CP18" s="9"/>
      <c r="CQ18" s="9"/>
      <c r="CR18" s="9"/>
      <c r="CS18" s="9"/>
      <c r="CV18" s="9"/>
      <c r="CW18" s="486"/>
      <c r="CX18" s="473"/>
      <c r="CY18" s="488"/>
      <c r="CZ18" s="488"/>
      <c r="DA18" s="473"/>
      <c r="DB18" s="383">
        <f t="shared" si="13"/>
        <v>0</v>
      </c>
      <c r="DC18" s="9"/>
      <c r="DD18" s="9"/>
      <c r="DE18" s="9"/>
      <c r="DF18" s="9"/>
      <c r="DI18" s="9"/>
      <c r="DJ18" s="484"/>
      <c r="DK18" s="485"/>
      <c r="DL18" s="9" t="str">
        <f t="shared" si="0"/>
        <v>-</v>
      </c>
      <c r="DM18" s="485"/>
      <c r="DN18" s="485"/>
      <c r="DO18" s="279" t="str">
        <f t="shared" si="14"/>
        <v/>
      </c>
      <c r="DP18" s="485"/>
      <c r="DQ18" s="278" t="str">
        <f t="shared" si="15"/>
        <v/>
      </c>
      <c r="DR18" s="9"/>
      <c r="DS18" s="9"/>
      <c r="DT18" s="9"/>
      <c r="DU18" s="9"/>
      <c r="DX18" s="9"/>
      <c r="DY18" s="304" t="s">
        <v>239</v>
      </c>
      <c r="DZ18" s="306" t="s">
        <v>121</v>
      </c>
      <c r="EA18" s="306"/>
      <c r="EB18" s="344">
        <f>J9*MAX(AZ56,AS56,AV56,AX56)/100</f>
        <v>0</v>
      </c>
      <c r="EC18" s="9"/>
      <c r="ED18" s="9"/>
      <c r="EE18" s="9"/>
      <c r="EF18" s="9"/>
      <c r="EJ18" s="9"/>
      <c r="EK18" s="9"/>
      <c r="EL18" s="9"/>
      <c r="EM18" s="9"/>
      <c r="EN18" s="9"/>
      <c r="EO18" s="9"/>
      <c r="EP18" s="9"/>
    </row>
    <row r="19" spans="39:146" ht="18.95" customHeight="1" thickBot="1" x14ac:dyDescent="0.3">
      <c r="AM19" s="259">
        <v>14</v>
      </c>
      <c r="AN19" s="310" t="str">
        <f t="shared" si="29"/>
        <v>-</v>
      </c>
      <c r="AO19" s="9" t="str">
        <f t="shared" si="16"/>
        <v>-</v>
      </c>
      <c r="AP19" s="289" t="str">
        <f t="shared" si="17"/>
        <v>-</v>
      </c>
      <c r="AQ19" s="9" t="str">
        <f t="shared" si="18"/>
        <v>-</v>
      </c>
      <c r="AR19" s="453"/>
      <c r="AS19" s="453"/>
      <c r="AT19" s="229" t="str">
        <f t="shared" si="19"/>
        <v>-</v>
      </c>
      <c r="AU19" s="290" t="str">
        <f t="shared" si="20"/>
        <v>N/A</v>
      </c>
      <c r="AV19" s="453"/>
      <c r="AW19" s="290" t="str">
        <f t="shared" si="7"/>
        <v>N/A</v>
      </c>
      <c r="AX19" s="453"/>
      <c r="AY19" s="290" t="str">
        <f t="shared" si="21"/>
        <v>N/A</v>
      </c>
      <c r="AZ19" s="453"/>
      <c r="BA19" s="291" t="str">
        <f t="shared" si="22"/>
        <v>N/A</v>
      </c>
      <c r="BB19" s="292" t="str">
        <f t="shared" si="23"/>
        <v>-</v>
      </c>
      <c r="BC19" s="512" t="str">
        <f t="shared" si="24"/>
        <v>-</v>
      </c>
      <c r="BD19" s="293" t="str">
        <f t="shared" si="25"/>
        <v>-</v>
      </c>
      <c r="BE19" s="293" t="str">
        <f t="shared" si="26"/>
        <v>-</v>
      </c>
      <c r="BF19" s="294" t="str">
        <f t="shared" si="27"/>
        <v>-</v>
      </c>
      <c r="BG19" s="9"/>
      <c r="BH19" s="9"/>
      <c r="BI19" s="9"/>
      <c r="BJ19" s="9"/>
      <c r="BZ19" s="9"/>
      <c r="CA19" s="476"/>
      <c r="CB19" s="515">
        <f>IFERROR(VLOOKUP(CA19,Feed!$B$4:$H$19,2,FALSE)*($BR$8/$BQ$8)+VLOOKUP(CA19,Feed!$B$4:$H$19,3,FALSE)*($BS$8/$BQ$8)+VLOOKUP(CA19,Feed!$B$4:$H$19,4,FALSE)*($BT$8/$BQ$8)+VLOOKUP(CA19,Feed!$B$4:$H$19,5,FALSE)*($BU$8/$BQ$8),0)</f>
        <v>0</v>
      </c>
      <c r="CC19" s="299" t="str">
        <f t="shared" si="30"/>
        <v>-</v>
      </c>
      <c r="CD19" s="299" t="str">
        <f t="shared" si="31"/>
        <v>-</v>
      </c>
      <c r="CE19" s="482">
        <v>0</v>
      </c>
      <c r="CF19" s="299" t="str">
        <f t="shared" si="34"/>
        <v>-</v>
      </c>
      <c r="CG19" s="300">
        <f t="shared" si="32"/>
        <v>0</v>
      </c>
      <c r="CH19" s="301" t="str">
        <f t="shared" si="33"/>
        <v>-</v>
      </c>
      <c r="CI19" s="9"/>
      <c r="CL19" s="9"/>
      <c r="CM19" s="380" t="s">
        <v>38</v>
      </c>
      <c r="CN19" s="381"/>
      <c r="CO19" s="382" t="str">
        <f>IFERROR(CO18/CN10,"-")</f>
        <v>-</v>
      </c>
      <c r="CP19" s="9"/>
      <c r="CQ19" s="9"/>
      <c r="CR19" s="9"/>
      <c r="CS19" s="9"/>
      <c r="CV19" s="9"/>
      <c r="CW19" s="384"/>
      <c r="CX19" s="385"/>
      <c r="CY19" s="386" t="s">
        <v>315</v>
      </c>
      <c r="CZ19" s="386"/>
      <c r="DA19" s="370"/>
      <c r="DB19" s="387">
        <f>SUMIF(CZ5:CZ18,DD6,DB5:DB18)</f>
        <v>0</v>
      </c>
      <c r="DC19" s="9"/>
      <c r="DD19" s="9"/>
      <c r="DE19" s="9"/>
      <c r="DF19" s="9"/>
      <c r="DI19" s="9"/>
      <c r="DJ19" s="484"/>
      <c r="DK19" s="485"/>
      <c r="DL19" s="9" t="str">
        <f t="shared" si="0"/>
        <v>-</v>
      </c>
      <c r="DM19" s="485"/>
      <c r="DN19" s="485"/>
      <c r="DO19" s="279" t="str">
        <f t="shared" si="14"/>
        <v/>
      </c>
      <c r="DP19" s="485"/>
      <c r="DQ19" s="278" t="str">
        <f t="shared" si="15"/>
        <v/>
      </c>
      <c r="DR19" s="9"/>
      <c r="DS19" s="9"/>
      <c r="DT19" s="9"/>
      <c r="DU19" s="9"/>
      <c r="DX19" s="9"/>
      <c r="DY19" s="304" t="s">
        <v>237</v>
      </c>
      <c r="DZ19" s="306"/>
      <c r="EA19" s="306"/>
      <c r="EB19" s="344" t="str">
        <f>IFERROR(J7/R15,"-")</f>
        <v>-</v>
      </c>
      <c r="EC19" s="9"/>
      <c r="ED19" s="9"/>
      <c r="EE19" s="9"/>
      <c r="EF19" s="9"/>
    </row>
    <row r="20" spans="39:146" ht="18.95" customHeight="1" x14ac:dyDescent="0.25">
      <c r="AM20" s="259">
        <v>15</v>
      </c>
      <c r="AN20" s="310" t="str">
        <f t="shared" si="29"/>
        <v>-</v>
      </c>
      <c r="AO20" s="9" t="str">
        <f t="shared" si="16"/>
        <v>-</v>
      </c>
      <c r="AP20" s="289" t="str">
        <f t="shared" si="17"/>
        <v>-</v>
      </c>
      <c r="AQ20" s="9" t="str">
        <f t="shared" si="18"/>
        <v>-</v>
      </c>
      <c r="AR20" s="453"/>
      <c r="AS20" s="453"/>
      <c r="AT20" s="229" t="str">
        <f t="shared" si="19"/>
        <v>-</v>
      </c>
      <c r="AU20" s="290" t="str">
        <f t="shared" si="20"/>
        <v>N/A</v>
      </c>
      <c r="AV20" s="453"/>
      <c r="AW20" s="290" t="str">
        <f t="shared" si="7"/>
        <v>N/A</v>
      </c>
      <c r="AX20" s="453"/>
      <c r="AY20" s="290" t="str">
        <f t="shared" si="21"/>
        <v>N/A</v>
      </c>
      <c r="AZ20" s="453"/>
      <c r="BA20" s="291" t="str">
        <f t="shared" si="22"/>
        <v>N/A</v>
      </c>
      <c r="BB20" s="292" t="str">
        <f t="shared" si="23"/>
        <v>-</v>
      </c>
      <c r="BC20" s="512" t="str">
        <f t="shared" si="24"/>
        <v>-</v>
      </c>
      <c r="BD20" s="293" t="str">
        <f t="shared" si="25"/>
        <v>-</v>
      </c>
      <c r="BE20" s="293" t="str">
        <f t="shared" si="26"/>
        <v>-</v>
      </c>
      <c r="BF20" s="294" t="str">
        <f t="shared" si="27"/>
        <v>-</v>
      </c>
      <c r="BG20" s="9"/>
      <c r="BH20" s="9"/>
      <c r="BI20" s="9"/>
      <c r="BJ20" s="9"/>
      <c r="BZ20" s="9"/>
      <c r="CA20" s="476"/>
      <c r="CB20" s="515">
        <f>IFERROR(VLOOKUP(CA20,Feed!$B$4:$H$19,2,FALSE)*($BR$8/$BQ$8)+VLOOKUP(CA20,Feed!$B$4:$H$19,3,FALSE)*($BS$8/$BQ$8)+VLOOKUP(CA20,Feed!$B$4:$H$19,4,FALSE)*($BT$8/$BQ$8)+VLOOKUP(CA20,Feed!$B$4:$H$19,5,FALSE)*($BU$8/$BQ$8),0)</f>
        <v>0</v>
      </c>
      <c r="CC20" s="299" t="str">
        <f t="shared" si="30"/>
        <v>-</v>
      </c>
      <c r="CD20" s="299" t="str">
        <f t="shared" si="31"/>
        <v>-</v>
      </c>
      <c r="CE20" s="482"/>
      <c r="CF20" s="299" t="str">
        <f t="shared" si="34"/>
        <v>-</v>
      </c>
      <c r="CG20" s="300">
        <f t="shared" si="32"/>
        <v>0</v>
      </c>
      <c r="CH20" s="301" t="str">
        <f t="shared" si="33"/>
        <v>-</v>
      </c>
      <c r="CI20" s="9"/>
      <c r="CL20" s="9"/>
      <c r="CM20" s="380" t="s">
        <v>37</v>
      </c>
      <c r="CN20" s="381"/>
      <c r="CO20" s="382">
        <f>IFERROR(CO18/(MAX(AZ56,AX56,AV56,AS56)-AR56),)</f>
        <v>0</v>
      </c>
      <c r="CP20" s="9"/>
      <c r="CQ20" s="9"/>
      <c r="CR20" s="9"/>
      <c r="CS20" s="9"/>
      <c r="CV20" s="9"/>
      <c r="CW20" s="9"/>
      <c r="CX20" s="9"/>
      <c r="CY20" s="9"/>
      <c r="CZ20" s="9"/>
      <c r="DA20" s="9"/>
      <c r="DB20" s="9"/>
      <c r="DC20" s="9"/>
      <c r="DD20" s="9"/>
      <c r="DE20" s="9"/>
      <c r="DF20" s="9"/>
      <c r="DI20" s="9"/>
      <c r="DJ20" s="484"/>
      <c r="DK20" s="485"/>
      <c r="DL20" s="9" t="str">
        <f t="shared" si="0"/>
        <v>-</v>
      </c>
      <c r="DM20" s="485"/>
      <c r="DN20" s="485"/>
      <c r="DO20" s="279" t="str">
        <f t="shared" si="14"/>
        <v/>
      </c>
      <c r="DP20" s="485"/>
      <c r="DQ20" s="278" t="str">
        <f t="shared" si="15"/>
        <v/>
      </c>
      <c r="DR20" s="9"/>
      <c r="DS20" s="9"/>
      <c r="DT20" s="9"/>
      <c r="DU20" s="9"/>
      <c r="DX20" s="9"/>
      <c r="DY20" s="304" t="s">
        <v>341</v>
      </c>
      <c r="DZ20" s="306" t="s">
        <v>343</v>
      </c>
      <c r="EA20" s="306"/>
      <c r="EB20" s="344">
        <f>J11*EB10</f>
        <v>0</v>
      </c>
      <c r="EC20" s="9"/>
      <c r="ED20" s="9"/>
      <c r="EE20" s="9"/>
      <c r="EF20" s="9"/>
    </row>
    <row r="21" spans="39:146" ht="18.95" customHeight="1" x14ac:dyDescent="0.25">
      <c r="AM21" s="259">
        <v>16</v>
      </c>
      <c r="AN21" s="310" t="str">
        <f t="shared" si="29"/>
        <v>-</v>
      </c>
      <c r="AO21" s="9" t="str">
        <f t="shared" si="16"/>
        <v>-</v>
      </c>
      <c r="AP21" s="289" t="str">
        <f t="shared" si="17"/>
        <v>-</v>
      </c>
      <c r="AQ21" s="9" t="str">
        <f t="shared" si="18"/>
        <v>-</v>
      </c>
      <c r="AR21" s="453"/>
      <c r="AS21" s="453"/>
      <c r="AT21" s="229" t="str">
        <f t="shared" si="19"/>
        <v>-</v>
      </c>
      <c r="AU21" s="290" t="str">
        <f t="shared" si="20"/>
        <v>N/A</v>
      </c>
      <c r="AV21" s="453"/>
      <c r="AW21" s="290" t="str">
        <f t="shared" si="7"/>
        <v>N/A</v>
      </c>
      <c r="AX21" s="453"/>
      <c r="AY21" s="290" t="str">
        <f t="shared" si="21"/>
        <v>N/A</v>
      </c>
      <c r="AZ21" s="453"/>
      <c r="BA21" s="291" t="str">
        <f t="shared" si="22"/>
        <v>N/A</v>
      </c>
      <c r="BB21" s="292" t="str">
        <f t="shared" si="23"/>
        <v>-</v>
      </c>
      <c r="BC21" s="512" t="str">
        <f t="shared" si="24"/>
        <v>-</v>
      </c>
      <c r="BD21" s="293" t="str">
        <f t="shared" si="25"/>
        <v>-</v>
      </c>
      <c r="BE21" s="293" t="str">
        <f t="shared" si="26"/>
        <v>-</v>
      </c>
      <c r="BF21" s="294" t="str">
        <f t="shared" si="27"/>
        <v>-</v>
      </c>
      <c r="BG21" s="9"/>
      <c r="BH21" s="9"/>
      <c r="BI21" s="9"/>
      <c r="BJ21" s="9"/>
      <c r="BZ21" s="9"/>
      <c r="CA21" s="476"/>
      <c r="CB21" s="515">
        <f>IFERROR(VLOOKUP(CA21,Feed!$B$4:$H$19,2,FALSE)*($BR$8/$BQ$8)+VLOOKUP(CA21,Feed!$B$4:$H$19,3,FALSE)*($BS$8/$BQ$8)+VLOOKUP(CA21,Feed!$B$4:$H$19,4,FALSE)*($BT$8/$BQ$8)+VLOOKUP(CA21,Feed!$B$4:$H$19,5,FALSE)*($BU$8/$BQ$8),0)</f>
        <v>0</v>
      </c>
      <c r="CC21" s="299" t="str">
        <f t="shared" si="30"/>
        <v>-</v>
      </c>
      <c r="CD21" s="299" t="str">
        <f t="shared" si="31"/>
        <v>-</v>
      </c>
      <c r="CE21" s="482"/>
      <c r="CF21" s="299" t="str">
        <f t="shared" si="34"/>
        <v>-</v>
      </c>
      <c r="CG21" s="300">
        <f t="shared" si="32"/>
        <v>0</v>
      </c>
      <c r="CH21" s="301" t="str">
        <f t="shared" si="33"/>
        <v>-</v>
      </c>
      <c r="CI21" s="9"/>
      <c r="CL21" s="9"/>
      <c r="CM21" s="380" t="s">
        <v>225</v>
      </c>
      <c r="CN21" s="381"/>
      <c r="CO21" s="388">
        <f>CO10-CG12-CG23-CG34-CG45-CG56</f>
        <v>0</v>
      </c>
      <c r="CP21" s="9"/>
      <c r="CQ21" s="9"/>
      <c r="CR21" s="9"/>
      <c r="CS21" s="9"/>
      <c r="DI21" s="9"/>
      <c r="DJ21" s="484"/>
      <c r="DK21" s="485"/>
      <c r="DL21" s="9" t="str">
        <f t="shared" si="0"/>
        <v>-</v>
      </c>
      <c r="DM21" s="485"/>
      <c r="DN21" s="485"/>
      <c r="DO21" s="279" t="str">
        <f t="shared" si="14"/>
        <v/>
      </c>
      <c r="DP21" s="485"/>
      <c r="DQ21" s="278" t="str">
        <f t="shared" si="15"/>
        <v/>
      </c>
      <c r="DR21" s="9"/>
      <c r="DS21" s="9"/>
      <c r="DT21" s="9"/>
      <c r="DU21" s="9"/>
      <c r="DX21" s="9"/>
      <c r="DY21" s="304" t="s">
        <v>192</v>
      </c>
      <c r="DZ21" s="389"/>
      <c r="EA21" s="9"/>
      <c r="EB21" s="344">
        <f>'Yardage Calculator'!F43*BQ12</f>
        <v>0</v>
      </c>
      <c r="EC21" s="9"/>
      <c r="ED21" s="9"/>
      <c r="EE21" s="9"/>
      <c r="EF21" s="9"/>
    </row>
    <row r="22" spans="39:146" ht="18.95" customHeight="1" x14ac:dyDescent="0.25">
      <c r="AM22" s="259">
        <v>17</v>
      </c>
      <c r="AN22" s="310" t="str">
        <f t="shared" si="29"/>
        <v>-</v>
      </c>
      <c r="AO22" s="9" t="str">
        <f t="shared" si="16"/>
        <v>-</v>
      </c>
      <c r="AP22" s="289" t="str">
        <f t="shared" si="17"/>
        <v>-</v>
      </c>
      <c r="AQ22" s="9" t="str">
        <f t="shared" si="18"/>
        <v>-</v>
      </c>
      <c r="AR22" s="453"/>
      <c r="AS22" s="453"/>
      <c r="AT22" s="229" t="str">
        <f t="shared" si="19"/>
        <v>-</v>
      </c>
      <c r="AU22" s="290" t="str">
        <f t="shared" si="20"/>
        <v>N/A</v>
      </c>
      <c r="AV22" s="453"/>
      <c r="AW22" s="290" t="str">
        <f t="shared" si="7"/>
        <v>N/A</v>
      </c>
      <c r="AX22" s="453"/>
      <c r="AY22" s="290" t="str">
        <f t="shared" si="21"/>
        <v>N/A</v>
      </c>
      <c r="AZ22" s="453"/>
      <c r="BA22" s="291" t="str">
        <f t="shared" si="22"/>
        <v>N/A</v>
      </c>
      <c r="BB22" s="292" t="str">
        <f t="shared" si="23"/>
        <v>-</v>
      </c>
      <c r="BC22" s="512" t="str">
        <f t="shared" si="24"/>
        <v>-</v>
      </c>
      <c r="BD22" s="293" t="str">
        <f t="shared" si="25"/>
        <v>-</v>
      </c>
      <c r="BE22" s="293" t="str">
        <f t="shared" si="26"/>
        <v>-</v>
      </c>
      <c r="BF22" s="294" t="str">
        <f t="shared" si="27"/>
        <v>-</v>
      </c>
      <c r="BG22" s="9"/>
      <c r="BH22" s="9"/>
      <c r="BI22" s="9"/>
      <c r="BJ22" s="9"/>
      <c r="BZ22" s="9"/>
      <c r="CA22" s="476"/>
      <c r="CB22" s="515">
        <f>IFERROR(VLOOKUP(CA22,Feed!$B$4:$H$19,2,FALSE)*($BR$8/$BQ$8)+VLOOKUP(CA22,Feed!$B$4:$H$19,3,FALSE)*($BS$8/$BQ$8)+VLOOKUP(CA22,Feed!$B$4:$H$19,4,FALSE)*($BT$8/$BQ$8)+VLOOKUP(CA22,Feed!$B$4:$H$19,5,FALSE)*($BU$8/$BQ$8),0)</f>
        <v>0</v>
      </c>
      <c r="CC22" s="299" t="str">
        <f t="shared" si="30"/>
        <v>-</v>
      </c>
      <c r="CD22" s="299" t="str">
        <f t="shared" si="31"/>
        <v>-</v>
      </c>
      <c r="CE22" s="482"/>
      <c r="CF22" s="299" t="str">
        <f t="shared" si="34"/>
        <v>-</v>
      </c>
      <c r="CG22" s="300">
        <f t="shared" si="32"/>
        <v>0</v>
      </c>
      <c r="CH22" s="301" t="str">
        <f t="shared" si="33"/>
        <v>-</v>
      </c>
      <c r="CI22" s="9"/>
      <c r="CL22" s="9"/>
      <c r="CM22" s="254" t="s">
        <v>222</v>
      </c>
      <c r="CN22" s="255"/>
      <c r="CO22" s="276">
        <f>(CO10-CO21)*CB61</f>
        <v>0</v>
      </c>
      <c r="CP22" s="9"/>
      <c r="CQ22" s="9"/>
      <c r="CR22" s="9"/>
      <c r="CS22" s="9"/>
      <c r="DI22" s="9"/>
      <c r="DJ22" s="484"/>
      <c r="DK22" s="485"/>
      <c r="DL22" s="9" t="str">
        <f t="shared" si="0"/>
        <v>-</v>
      </c>
      <c r="DM22" s="485"/>
      <c r="DN22" s="485"/>
      <c r="DO22" s="279" t="str">
        <f t="shared" si="14"/>
        <v/>
      </c>
      <c r="DP22" s="485"/>
      <c r="DQ22" s="278" t="str">
        <f t="shared" si="15"/>
        <v/>
      </c>
      <c r="DR22" s="9"/>
      <c r="DS22" s="9"/>
      <c r="DT22" s="9"/>
      <c r="DU22" s="9"/>
      <c r="DX22" s="9"/>
      <c r="DY22" s="304" t="s">
        <v>241</v>
      </c>
      <c r="DZ22" s="306" t="s">
        <v>243</v>
      </c>
      <c r="EA22" s="306"/>
      <c r="EB22" s="344">
        <f>J10</f>
        <v>0</v>
      </c>
      <c r="EC22" s="9"/>
      <c r="ED22" s="9"/>
      <c r="EE22" s="9"/>
      <c r="EF22" s="9"/>
    </row>
    <row r="23" spans="39:146" ht="18.95" customHeight="1" x14ac:dyDescent="0.25">
      <c r="AM23" s="259">
        <v>18</v>
      </c>
      <c r="AN23" s="310" t="str">
        <f t="shared" si="29"/>
        <v>-</v>
      </c>
      <c r="AO23" s="9" t="str">
        <f t="shared" si="16"/>
        <v>-</v>
      </c>
      <c r="AP23" s="289" t="str">
        <f t="shared" si="17"/>
        <v>-</v>
      </c>
      <c r="AQ23" s="9" t="str">
        <f t="shared" si="18"/>
        <v>-</v>
      </c>
      <c r="AR23" s="453"/>
      <c r="AS23" s="453"/>
      <c r="AT23" s="229" t="str">
        <f t="shared" si="19"/>
        <v>-</v>
      </c>
      <c r="AU23" s="290" t="str">
        <f t="shared" si="20"/>
        <v>N/A</v>
      </c>
      <c r="AV23" s="453"/>
      <c r="AW23" s="290" t="str">
        <f t="shared" si="7"/>
        <v>N/A</v>
      </c>
      <c r="AX23" s="453"/>
      <c r="AY23" s="290" t="str">
        <f t="shared" si="21"/>
        <v>N/A</v>
      </c>
      <c r="AZ23" s="453"/>
      <c r="BA23" s="291" t="str">
        <f t="shared" si="22"/>
        <v>N/A</v>
      </c>
      <c r="BB23" s="292" t="str">
        <f t="shared" si="23"/>
        <v>-</v>
      </c>
      <c r="BC23" s="512" t="str">
        <f t="shared" si="24"/>
        <v>-</v>
      </c>
      <c r="BD23" s="293" t="str">
        <f t="shared" si="25"/>
        <v>-</v>
      </c>
      <c r="BE23" s="293" t="str">
        <f t="shared" si="26"/>
        <v>-</v>
      </c>
      <c r="BF23" s="294" t="str">
        <f t="shared" si="27"/>
        <v>-</v>
      </c>
      <c r="BG23" s="9"/>
      <c r="BH23" s="9"/>
      <c r="BI23" s="9"/>
      <c r="BJ23" s="9"/>
      <c r="BZ23" s="9"/>
      <c r="CA23" s="338" t="s">
        <v>330</v>
      </c>
      <c r="CB23" s="516">
        <f>'AUM Evaluator'!$S$9*$CB$61</f>
        <v>78.359787947924048</v>
      </c>
      <c r="CC23" s="299">
        <v>1</v>
      </c>
      <c r="CD23" s="340">
        <v>0</v>
      </c>
      <c r="CE23" s="483"/>
      <c r="CF23" s="341" t="str">
        <f t="shared" si="34"/>
        <v>-</v>
      </c>
      <c r="CG23" s="342">
        <f t="shared" si="32"/>
        <v>0</v>
      </c>
      <c r="CH23" s="343">
        <f t="shared" si="33"/>
        <v>78.359787947924048</v>
      </c>
      <c r="CI23" s="9"/>
      <c r="CJ23" s="390"/>
      <c r="CK23" s="390"/>
      <c r="CL23" s="391"/>
      <c r="CM23" s="392" t="s">
        <v>230</v>
      </c>
      <c r="CN23" s="393"/>
      <c r="CO23" s="394">
        <f>IFERROR(CO22/R15*'AUM Evaluator'!S9,)</f>
        <v>0</v>
      </c>
      <c r="CP23" s="391"/>
      <c r="CQ23" s="391"/>
      <c r="CR23" s="391"/>
      <c r="CS23" s="391"/>
      <c r="CT23" s="390"/>
      <c r="CU23" s="390"/>
      <c r="DG23" s="390"/>
      <c r="DH23" s="390"/>
      <c r="DI23" s="9"/>
      <c r="DJ23" s="484"/>
      <c r="DK23" s="485"/>
      <c r="DL23" s="9" t="str">
        <f t="shared" si="0"/>
        <v>-</v>
      </c>
      <c r="DM23" s="485"/>
      <c r="DN23" s="485"/>
      <c r="DO23" s="279" t="str">
        <f t="shared" si="14"/>
        <v/>
      </c>
      <c r="DP23" s="485"/>
      <c r="DQ23" s="278" t="str">
        <f t="shared" si="15"/>
        <v/>
      </c>
      <c r="DR23" s="9"/>
      <c r="DS23" s="9"/>
      <c r="DT23" s="9"/>
      <c r="DU23" s="9"/>
      <c r="DV23" s="390"/>
      <c r="DW23" s="390"/>
      <c r="DX23" s="9"/>
      <c r="DY23" s="395" t="s">
        <v>240</v>
      </c>
      <c r="DZ23" s="306"/>
      <c r="EA23" s="306"/>
      <c r="EB23" s="344">
        <f>IFERROR(SUM(EB12,EB13,EB14:EB22)*J8*(BQ12/365),)</f>
        <v>0</v>
      </c>
      <c r="EC23" s="9"/>
      <c r="ED23" s="9"/>
      <c r="EE23" s="9"/>
      <c r="EF23" s="9"/>
    </row>
    <row r="24" spans="39:146" ht="18.95" customHeight="1" x14ac:dyDescent="0.25">
      <c r="AM24" s="259">
        <v>19</v>
      </c>
      <c r="AN24" s="310" t="str">
        <f t="shared" si="29"/>
        <v>-</v>
      </c>
      <c r="AO24" s="9" t="str">
        <f t="shared" si="16"/>
        <v>-</v>
      </c>
      <c r="AP24" s="289" t="str">
        <f t="shared" si="17"/>
        <v>-</v>
      </c>
      <c r="AQ24" s="9" t="str">
        <f t="shared" si="18"/>
        <v>-</v>
      </c>
      <c r="AR24" s="453"/>
      <c r="AS24" s="453"/>
      <c r="AT24" s="229" t="str">
        <f t="shared" si="19"/>
        <v>-</v>
      </c>
      <c r="AU24" s="290" t="str">
        <f t="shared" si="20"/>
        <v>N/A</v>
      </c>
      <c r="AV24" s="453"/>
      <c r="AW24" s="290" t="str">
        <f t="shared" si="7"/>
        <v>N/A</v>
      </c>
      <c r="AX24" s="453"/>
      <c r="AY24" s="290" t="str">
        <f t="shared" si="21"/>
        <v>N/A</v>
      </c>
      <c r="AZ24" s="453"/>
      <c r="BA24" s="291" t="str">
        <f t="shared" si="22"/>
        <v>N/A</v>
      </c>
      <c r="BB24" s="292" t="str">
        <f t="shared" si="23"/>
        <v>-</v>
      </c>
      <c r="BC24" s="512" t="str">
        <f t="shared" si="24"/>
        <v>-</v>
      </c>
      <c r="BD24" s="293" t="str">
        <f t="shared" si="25"/>
        <v>-</v>
      </c>
      <c r="BE24" s="293" t="str">
        <f t="shared" si="26"/>
        <v>-</v>
      </c>
      <c r="BF24" s="294" t="str">
        <f t="shared" si="27"/>
        <v>-</v>
      </c>
      <c r="BG24" s="9"/>
      <c r="BH24" s="9"/>
      <c r="BI24" s="9"/>
      <c r="BJ24" s="9"/>
      <c r="BZ24" s="9"/>
      <c r="CA24" s="348"/>
      <c r="CB24" s="349"/>
      <c r="CC24" s="350" t="s">
        <v>58</v>
      </c>
      <c r="CD24" s="351"/>
      <c r="CE24" s="352">
        <f>SUM(CE17:CE23)</f>
        <v>0</v>
      </c>
      <c r="CF24" s="353">
        <f>SUM(CF17:CF23)</f>
        <v>0</v>
      </c>
      <c r="CG24" s="352">
        <f t="shared" si="32"/>
        <v>0</v>
      </c>
      <c r="CH24" s="354"/>
      <c r="CI24" s="9"/>
      <c r="CL24" s="9"/>
      <c r="CM24" s="9"/>
      <c r="CN24" s="9"/>
      <c r="CO24" s="9"/>
      <c r="CP24" s="9"/>
      <c r="CQ24" s="9"/>
      <c r="CR24" s="9"/>
      <c r="CS24" s="9"/>
      <c r="DI24" s="9"/>
      <c r="DJ24" s="484"/>
      <c r="DK24" s="485"/>
      <c r="DL24" s="9" t="str">
        <f t="shared" si="0"/>
        <v>-</v>
      </c>
      <c r="DM24" s="485"/>
      <c r="DN24" s="485"/>
      <c r="DO24" s="279" t="str">
        <f t="shared" si="14"/>
        <v/>
      </c>
      <c r="DP24" s="485"/>
      <c r="DQ24" s="278" t="str">
        <f t="shared" si="15"/>
        <v/>
      </c>
      <c r="DR24" s="9"/>
      <c r="DS24" s="9"/>
      <c r="DT24" s="9"/>
      <c r="DU24" s="9"/>
      <c r="DX24" s="9"/>
      <c r="DY24" s="396"/>
      <c r="DZ24" s="626" t="s">
        <v>128</v>
      </c>
      <c r="EA24" s="626"/>
      <c r="EB24" s="397">
        <f>SUM(EB12:EB23)</f>
        <v>0</v>
      </c>
      <c r="EC24" s="9"/>
      <c r="ED24" s="9"/>
      <c r="EE24" s="9"/>
      <c r="EF24" s="9"/>
    </row>
    <row r="25" spans="39:146" ht="18.95" customHeight="1" thickBot="1" x14ac:dyDescent="0.3">
      <c r="AM25" s="259">
        <v>20</v>
      </c>
      <c r="AN25" s="310" t="str">
        <f t="shared" si="29"/>
        <v>-</v>
      </c>
      <c r="AO25" s="9" t="str">
        <f t="shared" si="16"/>
        <v>-</v>
      </c>
      <c r="AP25" s="289" t="str">
        <f t="shared" si="17"/>
        <v>-</v>
      </c>
      <c r="AQ25" s="9" t="str">
        <f t="shared" si="18"/>
        <v>-</v>
      </c>
      <c r="AR25" s="453"/>
      <c r="AS25" s="453"/>
      <c r="AT25" s="229" t="str">
        <f t="shared" si="19"/>
        <v>-</v>
      </c>
      <c r="AU25" s="290" t="str">
        <f t="shared" si="20"/>
        <v>N/A</v>
      </c>
      <c r="AV25" s="453"/>
      <c r="AW25" s="293" t="str">
        <f t="shared" si="7"/>
        <v>N/A</v>
      </c>
      <c r="AX25" s="453"/>
      <c r="AY25" s="290" t="str">
        <f t="shared" si="21"/>
        <v>N/A</v>
      </c>
      <c r="AZ25" s="453"/>
      <c r="BA25" s="291" t="str">
        <f t="shared" si="22"/>
        <v>N/A</v>
      </c>
      <c r="BB25" s="292" t="str">
        <f t="shared" si="23"/>
        <v>-</v>
      </c>
      <c r="BC25" s="512" t="str">
        <f t="shared" si="24"/>
        <v>-</v>
      </c>
      <c r="BD25" s="293" t="str">
        <f t="shared" si="25"/>
        <v>-</v>
      </c>
      <c r="BE25" s="293" t="str">
        <f t="shared" si="26"/>
        <v>-</v>
      </c>
      <c r="BF25" s="294" t="str">
        <f t="shared" si="27"/>
        <v>-</v>
      </c>
      <c r="BG25" s="9"/>
      <c r="BH25" s="9"/>
      <c r="BI25" s="9"/>
      <c r="BJ25" s="9"/>
      <c r="BZ25" s="9"/>
      <c r="CA25" s="363"/>
      <c r="CB25" s="364"/>
      <c r="CC25" s="365"/>
      <c r="CD25" s="366" t="s">
        <v>208</v>
      </c>
      <c r="CE25" s="366"/>
      <c r="CF25" s="367"/>
      <c r="CG25" s="367"/>
      <c r="CH25" s="368">
        <f>SUMPRODUCT(CF17:CF23,CH17:CH23,CC17:CC23)</f>
        <v>0</v>
      </c>
      <c r="CI25" s="9"/>
      <c r="CL25" s="9"/>
      <c r="CM25" s="9"/>
      <c r="CN25" s="9"/>
      <c r="CO25" s="9"/>
      <c r="CP25" s="9"/>
      <c r="CQ25" s="9"/>
      <c r="CR25" s="9"/>
      <c r="CS25" s="9"/>
      <c r="DI25" s="9"/>
      <c r="DJ25" s="484"/>
      <c r="DK25" s="485"/>
      <c r="DL25" s="9" t="str">
        <f t="shared" si="0"/>
        <v>-</v>
      </c>
      <c r="DM25" s="485"/>
      <c r="DN25" s="485"/>
      <c r="DO25" s="279" t="str">
        <f t="shared" si="14"/>
        <v/>
      </c>
      <c r="DP25" s="485"/>
      <c r="DQ25" s="278" t="str">
        <f t="shared" si="15"/>
        <v/>
      </c>
      <c r="DR25" s="9"/>
      <c r="DS25" s="9"/>
      <c r="DT25" s="9"/>
      <c r="DU25" s="9"/>
      <c r="DX25" s="9"/>
      <c r="DY25" s="384"/>
      <c r="DZ25" s="627" t="s">
        <v>372</v>
      </c>
      <c r="EA25" s="627" t="s">
        <v>137</v>
      </c>
      <c r="EB25" s="398">
        <f>EB10-EB24</f>
        <v>0</v>
      </c>
      <c r="EC25" s="9"/>
      <c r="ED25" s="9"/>
      <c r="EE25" s="9"/>
      <c r="EF25" s="9"/>
    </row>
    <row r="26" spans="39:146" ht="18.95" customHeight="1" thickBot="1" x14ac:dyDescent="0.3">
      <c r="AM26" s="259">
        <v>21</v>
      </c>
      <c r="AN26" s="310" t="str">
        <f t="shared" si="29"/>
        <v>-</v>
      </c>
      <c r="AO26" s="9" t="str">
        <f t="shared" si="16"/>
        <v>-</v>
      </c>
      <c r="AP26" s="289" t="str">
        <f t="shared" si="17"/>
        <v>-</v>
      </c>
      <c r="AQ26" s="9" t="str">
        <f t="shared" si="18"/>
        <v>-</v>
      </c>
      <c r="AR26" s="453"/>
      <c r="AS26" s="453"/>
      <c r="AT26" s="229" t="str">
        <f t="shared" si="19"/>
        <v>-</v>
      </c>
      <c r="AU26" s="290" t="str">
        <f t="shared" si="20"/>
        <v>N/A</v>
      </c>
      <c r="AV26" s="453"/>
      <c r="AW26" s="290" t="str">
        <f t="shared" si="7"/>
        <v>N/A</v>
      </c>
      <c r="AX26" s="453"/>
      <c r="AY26" s="290" t="str">
        <f t="shared" si="21"/>
        <v>N/A</v>
      </c>
      <c r="AZ26" s="453"/>
      <c r="BA26" s="291" t="str">
        <f t="shared" si="22"/>
        <v>N/A</v>
      </c>
      <c r="BB26" s="292" t="str">
        <f t="shared" si="23"/>
        <v>-</v>
      </c>
      <c r="BC26" s="512" t="str">
        <f t="shared" si="24"/>
        <v>-</v>
      </c>
      <c r="BD26" s="293" t="str">
        <f t="shared" si="25"/>
        <v>-</v>
      </c>
      <c r="BE26" s="293" t="str">
        <f t="shared" si="26"/>
        <v>-</v>
      </c>
      <c r="BF26" s="294" t="str">
        <f t="shared" si="27"/>
        <v>-</v>
      </c>
      <c r="BG26" s="9"/>
      <c r="BH26" s="9"/>
      <c r="BI26" s="9"/>
      <c r="BJ26" s="9"/>
      <c r="BZ26" s="9"/>
      <c r="CA26" s="9"/>
      <c r="CB26" s="9"/>
      <c r="CC26" s="9"/>
      <c r="CD26" s="9"/>
      <c r="CE26" s="9"/>
      <c r="CF26" s="9"/>
      <c r="CG26" s="9"/>
      <c r="CH26" s="9"/>
      <c r="CI26" s="9"/>
      <c r="CM26" s="390"/>
      <c r="CN26" s="390"/>
      <c r="CO26" s="390"/>
      <c r="DI26" s="9"/>
      <c r="DJ26" s="484"/>
      <c r="DK26" s="485"/>
      <c r="DL26" s="9" t="str">
        <f t="shared" si="0"/>
        <v>-</v>
      </c>
      <c r="DM26" s="485"/>
      <c r="DN26" s="485"/>
      <c r="DO26" s="279" t="str">
        <f t="shared" si="14"/>
        <v/>
      </c>
      <c r="DP26" s="485"/>
      <c r="DQ26" s="278" t="str">
        <f t="shared" si="15"/>
        <v/>
      </c>
      <c r="DR26" s="9"/>
      <c r="DS26" s="9"/>
      <c r="DT26" s="9"/>
      <c r="DU26" s="9"/>
      <c r="DX26" s="9"/>
      <c r="DY26" s="166"/>
      <c r="DZ26" s="166"/>
      <c r="EA26" s="166"/>
      <c r="EB26" s="166"/>
      <c r="EC26" s="9"/>
      <c r="ED26" s="9"/>
      <c r="EE26" s="9"/>
      <c r="EF26" s="9"/>
    </row>
    <row r="27" spans="39:146" ht="31.5" x14ac:dyDescent="0.25">
      <c r="AM27" s="259">
        <v>22</v>
      </c>
      <c r="AN27" s="310" t="str">
        <f t="shared" si="29"/>
        <v>-</v>
      </c>
      <c r="AO27" s="9" t="str">
        <f t="shared" si="16"/>
        <v>-</v>
      </c>
      <c r="AP27" s="289" t="str">
        <f t="shared" si="17"/>
        <v>-</v>
      </c>
      <c r="AQ27" s="9" t="str">
        <f t="shared" si="18"/>
        <v>-</v>
      </c>
      <c r="AR27" s="453"/>
      <c r="AS27" s="453"/>
      <c r="AT27" s="229" t="str">
        <f t="shared" si="19"/>
        <v>-</v>
      </c>
      <c r="AU27" s="290" t="str">
        <f t="shared" si="20"/>
        <v>N/A</v>
      </c>
      <c r="AV27" s="453"/>
      <c r="AW27" s="290" t="str">
        <f t="shared" si="7"/>
        <v>N/A</v>
      </c>
      <c r="AX27" s="453"/>
      <c r="AY27" s="290" t="str">
        <f t="shared" si="21"/>
        <v>N/A</v>
      </c>
      <c r="AZ27" s="453"/>
      <c r="BA27" s="291" t="str">
        <f t="shared" si="22"/>
        <v>N/A</v>
      </c>
      <c r="BB27" s="292" t="str">
        <f t="shared" si="23"/>
        <v>-</v>
      </c>
      <c r="BC27" s="512" t="str">
        <f t="shared" si="24"/>
        <v>-</v>
      </c>
      <c r="BD27" s="293" t="str">
        <f t="shared" si="25"/>
        <v>-</v>
      </c>
      <c r="BE27" s="293" t="str">
        <f t="shared" si="26"/>
        <v>-</v>
      </c>
      <c r="BF27" s="294" t="str">
        <f t="shared" si="27"/>
        <v>-</v>
      </c>
      <c r="BG27" s="9"/>
      <c r="BH27" s="9"/>
      <c r="BI27" s="9"/>
      <c r="BJ27" s="9"/>
      <c r="BZ27" s="9"/>
      <c r="CA27" s="273" t="str">
        <f>IF(BN9=BN17,"-",BN9)</f>
        <v>-</v>
      </c>
      <c r="CB27" s="54" t="s">
        <v>328</v>
      </c>
      <c r="CC27" s="54" t="s">
        <v>205</v>
      </c>
      <c r="CD27" s="54" t="s">
        <v>95</v>
      </c>
      <c r="CE27" s="54" t="s">
        <v>326</v>
      </c>
      <c r="CF27" s="54" t="s">
        <v>206</v>
      </c>
      <c r="CG27" s="54" t="s">
        <v>234</v>
      </c>
      <c r="CH27" s="274" t="s">
        <v>209</v>
      </c>
      <c r="CI27" s="9"/>
      <c r="DI27" s="9"/>
      <c r="DJ27" s="484"/>
      <c r="DK27" s="485"/>
      <c r="DL27" s="9" t="str">
        <f t="shared" si="0"/>
        <v>-</v>
      </c>
      <c r="DM27" s="485"/>
      <c r="DN27" s="485"/>
      <c r="DO27" s="279" t="str">
        <f t="shared" si="14"/>
        <v/>
      </c>
      <c r="DP27" s="485"/>
      <c r="DQ27" s="278" t="str">
        <f t="shared" si="15"/>
        <v/>
      </c>
      <c r="DR27" s="9"/>
      <c r="DS27" s="9"/>
      <c r="DT27" s="9"/>
      <c r="DU27" s="9"/>
      <c r="DY27" s="183"/>
      <c r="DZ27" s="183"/>
      <c r="EA27" s="183"/>
      <c r="EB27" s="183"/>
    </row>
    <row r="28" spans="39:146" ht="18.95" customHeight="1" x14ac:dyDescent="0.25">
      <c r="AM28" s="259">
        <v>23</v>
      </c>
      <c r="AN28" s="310" t="str">
        <f t="shared" si="29"/>
        <v>-</v>
      </c>
      <c r="AO28" s="9" t="str">
        <f t="shared" si="16"/>
        <v>-</v>
      </c>
      <c r="AP28" s="289" t="str">
        <f t="shared" si="17"/>
        <v>-</v>
      </c>
      <c r="AQ28" s="9" t="str">
        <f t="shared" si="18"/>
        <v>-</v>
      </c>
      <c r="AR28" s="453"/>
      <c r="AS28" s="453"/>
      <c r="AT28" s="229" t="str">
        <f t="shared" si="19"/>
        <v>-</v>
      </c>
      <c r="AU28" s="290" t="str">
        <f t="shared" si="20"/>
        <v>N/A</v>
      </c>
      <c r="AV28" s="453"/>
      <c r="AW28" s="290" t="str">
        <f t="shared" si="7"/>
        <v>N/A</v>
      </c>
      <c r="AX28" s="453"/>
      <c r="AY28" s="290" t="str">
        <f t="shared" si="21"/>
        <v>N/A</v>
      </c>
      <c r="AZ28" s="453"/>
      <c r="BA28" s="291" t="str">
        <f t="shared" si="22"/>
        <v>N/A</v>
      </c>
      <c r="BB28" s="292" t="str">
        <f t="shared" si="23"/>
        <v>-</v>
      </c>
      <c r="BC28" s="512" t="str">
        <f t="shared" si="24"/>
        <v>-</v>
      </c>
      <c r="BD28" s="293" t="str">
        <f t="shared" si="25"/>
        <v>-</v>
      </c>
      <c r="BE28" s="293" t="str">
        <f t="shared" si="26"/>
        <v>-</v>
      </c>
      <c r="BF28" s="294" t="str">
        <f t="shared" si="27"/>
        <v>-</v>
      </c>
      <c r="BG28" s="9"/>
      <c r="BH28" s="9"/>
      <c r="BI28" s="9"/>
      <c r="BJ28" s="9"/>
      <c r="BZ28" s="9"/>
      <c r="CA28" s="476"/>
      <c r="CB28" s="515">
        <f>IFERROR(VLOOKUP(CA28,Feed!$B$4:$H$19,2,FALSE)*($BR$9/$BQ$9)+VLOOKUP(CA28,Feed!$B$4:$H$19,3,FALSE)*($BS$9/$BQ$9)+VLOOKUP(CA28,Feed!$B$4:$H$19,4,FALSE)*($BT$9/$BQ$9)+VLOOKUP(CA28,Feed!$B$4:$H$19,5,FALSE)*($BU$9/$BQ$9),0)</f>
        <v>0</v>
      </c>
      <c r="CC28" s="299" t="str">
        <f t="shared" ref="CC28:CC33" si="35">IFERROR(VLOOKUP($CA28,FeedIngLst,6,FALSE),"-")</f>
        <v>-</v>
      </c>
      <c r="CD28" s="299" t="str">
        <f t="shared" ref="CD28:CD33" si="36">IFERROR(VLOOKUP($CA28,FeedIngLst,7,FALSE),"-")</f>
        <v>-</v>
      </c>
      <c r="CE28" s="482"/>
      <c r="CF28" s="299" t="str">
        <f t="shared" ref="CF28" si="37">IFERROR(CE28/$CE$35,"-")</f>
        <v>-</v>
      </c>
      <c r="CG28" s="300">
        <f t="shared" ref="CG28:CG35" si="38">CE28*$R$15*$BQ$9/2000</f>
        <v>0</v>
      </c>
      <c r="CH28" s="301" t="str">
        <f t="shared" ref="CH28:CH34" si="39">IFERROR($CB28/$CC28/(1-$CD28),"-")</f>
        <v>-</v>
      </c>
      <c r="CI28" s="9"/>
      <c r="DI28" s="9"/>
      <c r="DJ28" s="484"/>
      <c r="DK28" s="485"/>
      <c r="DL28" s="9" t="str">
        <f t="shared" si="0"/>
        <v>-</v>
      </c>
      <c r="DM28" s="485"/>
      <c r="DN28" s="485"/>
      <c r="DO28" s="279" t="str">
        <f t="shared" si="14"/>
        <v/>
      </c>
      <c r="DP28" s="485"/>
      <c r="DQ28" s="278" t="str">
        <f t="shared" si="15"/>
        <v/>
      </c>
      <c r="DR28" s="9"/>
      <c r="DS28" s="9"/>
      <c r="DT28" s="9"/>
      <c r="DU28" s="9"/>
      <c r="DY28" s="183"/>
      <c r="DZ28" s="183"/>
      <c r="EA28" s="183"/>
      <c r="EB28" s="183"/>
    </row>
    <row r="29" spans="39:146" ht="18.95" customHeight="1" x14ac:dyDescent="0.25">
      <c r="AM29" s="259">
        <v>24</v>
      </c>
      <c r="AN29" s="310" t="str">
        <f t="shared" si="29"/>
        <v>-</v>
      </c>
      <c r="AO29" s="9" t="str">
        <f t="shared" si="16"/>
        <v>-</v>
      </c>
      <c r="AP29" s="289" t="str">
        <f t="shared" si="17"/>
        <v>-</v>
      </c>
      <c r="AQ29" s="9" t="str">
        <f t="shared" si="18"/>
        <v>-</v>
      </c>
      <c r="AR29" s="453"/>
      <c r="AS29" s="453"/>
      <c r="AT29" s="229" t="str">
        <f t="shared" si="19"/>
        <v>-</v>
      </c>
      <c r="AU29" s="290" t="str">
        <f t="shared" si="20"/>
        <v>N/A</v>
      </c>
      <c r="AV29" s="453"/>
      <c r="AW29" s="290" t="str">
        <f t="shared" si="7"/>
        <v>N/A</v>
      </c>
      <c r="AX29" s="453"/>
      <c r="AY29" s="290" t="str">
        <f t="shared" si="21"/>
        <v>N/A</v>
      </c>
      <c r="AZ29" s="453"/>
      <c r="BA29" s="291" t="str">
        <f t="shared" si="22"/>
        <v>N/A</v>
      </c>
      <c r="BB29" s="292" t="str">
        <f t="shared" si="23"/>
        <v>-</v>
      </c>
      <c r="BC29" s="512" t="str">
        <f t="shared" si="24"/>
        <v>-</v>
      </c>
      <c r="BD29" s="293" t="str">
        <f t="shared" si="25"/>
        <v>-</v>
      </c>
      <c r="BE29" s="293" t="str">
        <f t="shared" si="26"/>
        <v>-</v>
      </c>
      <c r="BF29" s="294" t="str">
        <f t="shared" si="27"/>
        <v>-</v>
      </c>
      <c r="BG29" s="9"/>
      <c r="BH29" s="9"/>
      <c r="BI29" s="9"/>
      <c r="BJ29" s="9"/>
      <c r="BZ29" s="9"/>
      <c r="CA29" s="476"/>
      <c r="CB29" s="515">
        <f>IFERROR(VLOOKUP(CA29,Feed!$B$4:$H$19,2,FALSE)*($BR$9/$BQ$9)+VLOOKUP(CA29,Feed!$B$4:$H$19,3,FALSE)*($BS$9/$BQ$9)+VLOOKUP(CA29,Feed!$B$4:$H$19,4,FALSE)*($BT$9/$BQ$9)+VLOOKUP(CA29,Feed!$B$4:$H$19,5,FALSE)*($BU$9/$BQ$9),0)</f>
        <v>0</v>
      </c>
      <c r="CC29" s="299" t="str">
        <f t="shared" si="35"/>
        <v>-</v>
      </c>
      <c r="CD29" s="299" t="str">
        <f t="shared" si="36"/>
        <v>-</v>
      </c>
      <c r="CE29" s="482"/>
      <c r="CF29" s="299" t="str">
        <f>IFERROR(CE29/$CE$35,"-")</f>
        <v>-</v>
      </c>
      <c r="CG29" s="300">
        <f t="shared" si="38"/>
        <v>0</v>
      </c>
      <c r="CH29" s="301" t="str">
        <f t="shared" si="39"/>
        <v>-</v>
      </c>
      <c r="CI29" s="9"/>
      <c r="DI29" s="9"/>
      <c r="DJ29" s="486"/>
      <c r="DK29" s="473"/>
      <c r="DL29" s="399" t="str">
        <f t="shared" si="0"/>
        <v>-</v>
      </c>
      <c r="DM29" s="473"/>
      <c r="DN29" s="473"/>
      <c r="DO29" s="400" t="str">
        <f t="shared" si="14"/>
        <v/>
      </c>
      <c r="DP29" s="473"/>
      <c r="DQ29" s="383" t="str">
        <f t="shared" si="15"/>
        <v/>
      </c>
      <c r="DR29" s="9"/>
      <c r="DS29" s="9"/>
      <c r="DT29" s="9"/>
      <c r="DU29" s="9"/>
      <c r="DY29" s="183"/>
      <c r="DZ29" s="183"/>
      <c r="EA29" s="183"/>
      <c r="EB29" s="183"/>
    </row>
    <row r="30" spans="39:146" ht="18.95" customHeight="1" thickBot="1" x14ac:dyDescent="0.3">
      <c r="AM30" s="259">
        <v>25</v>
      </c>
      <c r="AN30" s="310" t="str">
        <f t="shared" si="29"/>
        <v>-</v>
      </c>
      <c r="AO30" s="9" t="str">
        <f t="shared" si="16"/>
        <v>-</v>
      </c>
      <c r="AP30" s="289" t="str">
        <f t="shared" si="17"/>
        <v>-</v>
      </c>
      <c r="AQ30" s="9" t="str">
        <f t="shared" si="18"/>
        <v>-</v>
      </c>
      <c r="AR30" s="453"/>
      <c r="AS30" s="453"/>
      <c r="AT30" s="229" t="str">
        <f t="shared" si="19"/>
        <v>-</v>
      </c>
      <c r="AU30" s="290" t="str">
        <f t="shared" si="20"/>
        <v>N/A</v>
      </c>
      <c r="AV30" s="453"/>
      <c r="AW30" s="290" t="str">
        <f t="shared" si="7"/>
        <v>N/A</v>
      </c>
      <c r="AX30" s="453"/>
      <c r="AY30" s="290" t="str">
        <f t="shared" si="21"/>
        <v>N/A</v>
      </c>
      <c r="AZ30" s="453"/>
      <c r="BA30" s="291" t="str">
        <f t="shared" si="22"/>
        <v>N/A</v>
      </c>
      <c r="BB30" s="292" t="str">
        <f t="shared" si="23"/>
        <v>-</v>
      </c>
      <c r="BC30" s="512" t="str">
        <f t="shared" si="24"/>
        <v>-</v>
      </c>
      <c r="BD30" s="293" t="str">
        <f t="shared" si="25"/>
        <v>-</v>
      </c>
      <c r="BE30" s="293" t="str">
        <f t="shared" si="26"/>
        <v>-</v>
      </c>
      <c r="BF30" s="294" t="str">
        <f t="shared" si="27"/>
        <v>-</v>
      </c>
      <c r="BG30" s="9"/>
      <c r="BH30" s="9"/>
      <c r="BI30" s="9"/>
      <c r="BJ30" s="9"/>
      <c r="BZ30" s="9"/>
      <c r="CA30" s="476"/>
      <c r="CB30" s="515">
        <f>IFERROR(VLOOKUP(CA30,Feed!$B$4:$H$19,2,FALSE)*($BR$9/$BQ$9)+VLOOKUP(CA30,Feed!$B$4:$H$19,3,FALSE)*($BS$9/$BQ$9)+VLOOKUP(CA30,Feed!$B$4:$H$19,4,FALSE)*($BT$9/$BQ$9)+VLOOKUP(CA30,Feed!$B$4:$H$19,5,FALSE)*($BU$9/$BQ$9),0)</f>
        <v>0</v>
      </c>
      <c r="CC30" s="299" t="str">
        <f t="shared" si="35"/>
        <v>-</v>
      </c>
      <c r="CD30" s="299" t="str">
        <f t="shared" si="36"/>
        <v>-</v>
      </c>
      <c r="CE30" s="482"/>
      <c r="CF30" s="299" t="str">
        <f t="shared" ref="CF30:CF34" si="40">IFERROR(CE30/$CE$35,"-")</f>
        <v>-</v>
      </c>
      <c r="CG30" s="300">
        <f t="shared" si="38"/>
        <v>0</v>
      </c>
      <c r="CH30" s="301" t="str">
        <f t="shared" si="39"/>
        <v>-</v>
      </c>
      <c r="CI30" s="9"/>
      <c r="DI30" s="9"/>
      <c r="DJ30" s="384"/>
      <c r="DK30" s="385"/>
      <c r="DL30" s="385"/>
      <c r="DM30" s="385"/>
      <c r="DN30" s="385"/>
      <c r="DO30" s="386" t="s">
        <v>236</v>
      </c>
      <c r="DP30" s="370"/>
      <c r="DQ30" s="387">
        <f>SUM(DQ5:DQ29)</f>
        <v>0</v>
      </c>
      <c r="DR30" s="9"/>
      <c r="DS30" s="9"/>
      <c r="DT30" s="9"/>
      <c r="DU30" s="9"/>
      <c r="DY30" s="183"/>
      <c r="DZ30" s="183"/>
      <c r="EA30" s="183"/>
      <c r="EB30" s="183"/>
    </row>
    <row r="31" spans="39:146" ht="18.95" customHeight="1" x14ac:dyDescent="0.25">
      <c r="AM31" s="259">
        <v>26</v>
      </c>
      <c r="AN31" s="310" t="str">
        <f t="shared" si="29"/>
        <v>-</v>
      </c>
      <c r="AO31" s="9" t="str">
        <f t="shared" si="16"/>
        <v>-</v>
      </c>
      <c r="AP31" s="289" t="str">
        <f t="shared" si="17"/>
        <v>-</v>
      </c>
      <c r="AQ31" s="9" t="str">
        <f t="shared" si="18"/>
        <v>-</v>
      </c>
      <c r="AR31" s="453"/>
      <c r="AS31" s="453"/>
      <c r="AT31" s="229" t="str">
        <f t="shared" si="19"/>
        <v>-</v>
      </c>
      <c r="AU31" s="290" t="str">
        <f t="shared" si="20"/>
        <v>N/A</v>
      </c>
      <c r="AV31" s="453"/>
      <c r="AW31" s="290" t="str">
        <f t="shared" si="7"/>
        <v>N/A</v>
      </c>
      <c r="AX31" s="453"/>
      <c r="AY31" s="290" t="str">
        <f t="shared" si="21"/>
        <v>N/A</v>
      </c>
      <c r="AZ31" s="453"/>
      <c r="BA31" s="291" t="str">
        <f t="shared" si="22"/>
        <v>N/A</v>
      </c>
      <c r="BB31" s="292" t="str">
        <f t="shared" si="23"/>
        <v>-</v>
      </c>
      <c r="BC31" s="512" t="str">
        <f t="shared" si="24"/>
        <v>-</v>
      </c>
      <c r="BD31" s="293" t="str">
        <f t="shared" si="25"/>
        <v>-</v>
      </c>
      <c r="BE31" s="293" t="str">
        <f t="shared" si="26"/>
        <v>-</v>
      </c>
      <c r="BF31" s="294" t="str">
        <f t="shared" si="27"/>
        <v>-</v>
      </c>
      <c r="BG31" s="9"/>
      <c r="BH31" s="9"/>
      <c r="BI31" s="9"/>
      <c r="BJ31" s="9"/>
      <c r="BZ31" s="9"/>
      <c r="CA31" s="476"/>
      <c r="CB31" s="515">
        <f>IFERROR(VLOOKUP(CA31,Feed!$B$4:$H$19,2,FALSE)*($BR$9/$BQ$9)+VLOOKUP(CA31,Feed!$B$4:$H$19,3,FALSE)*($BS$9/$BQ$9)+VLOOKUP(CA31,Feed!$B$4:$H$19,4,FALSE)*($BT$9/$BQ$9)+VLOOKUP(CA31,Feed!$B$4:$H$19,5,FALSE)*($BU$9/$BQ$9),0)</f>
        <v>0</v>
      </c>
      <c r="CC31" s="299" t="str">
        <f t="shared" si="35"/>
        <v>-</v>
      </c>
      <c r="CD31" s="299" t="str">
        <f t="shared" si="36"/>
        <v>-</v>
      </c>
      <c r="CE31" s="482"/>
      <c r="CF31" s="299" t="str">
        <f t="shared" si="40"/>
        <v>-</v>
      </c>
      <c r="CG31" s="300">
        <f t="shared" si="38"/>
        <v>0</v>
      </c>
      <c r="CH31" s="301" t="str">
        <f t="shared" si="39"/>
        <v>-</v>
      </c>
      <c r="CI31" s="9"/>
      <c r="DI31" s="9"/>
      <c r="DJ31" s="9"/>
      <c r="DK31" s="9"/>
      <c r="DL31" s="9"/>
      <c r="DM31" s="9"/>
      <c r="DN31" s="9"/>
      <c r="DO31" s="9"/>
      <c r="DP31" s="9"/>
      <c r="DQ31" s="9"/>
      <c r="DR31" s="9"/>
      <c r="DS31" s="9"/>
      <c r="DT31" s="9"/>
      <c r="DU31" s="9"/>
    </row>
    <row r="32" spans="39:146" ht="18.95" customHeight="1" x14ac:dyDescent="0.25">
      <c r="AM32" s="259">
        <v>27</v>
      </c>
      <c r="AN32" s="310" t="str">
        <f t="shared" si="29"/>
        <v>-</v>
      </c>
      <c r="AO32" s="9" t="str">
        <f t="shared" si="16"/>
        <v>-</v>
      </c>
      <c r="AP32" s="289" t="str">
        <f t="shared" si="17"/>
        <v>-</v>
      </c>
      <c r="AQ32" s="9" t="str">
        <f t="shared" si="18"/>
        <v>-</v>
      </c>
      <c r="AR32" s="453"/>
      <c r="AS32" s="453"/>
      <c r="AT32" s="229" t="str">
        <f t="shared" si="19"/>
        <v>-</v>
      </c>
      <c r="AU32" s="290" t="str">
        <f t="shared" si="20"/>
        <v>N/A</v>
      </c>
      <c r="AV32" s="453"/>
      <c r="AW32" s="290" t="str">
        <f t="shared" si="7"/>
        <v>N/A</v>
      </c>
      <c r="AX32" s="453"/>
      <c r="AY32" s="290" t="str">
        <f t="shared" si="21"/>
        <v>N/A</v>
      </c>
      <c r="AZ32" s="453"/>
      <c r="BA32" s="291" t="str">
        <f t="shared" si="22"/>
        <v>N/A</v>
      </c>
      <c r="BB32" s="292" t="str">
        <f t="shared" si="23"/>
        <v>-</v>
      </c>
      <c r="BC32" s="512" t="str">
        <f t="shared" si="24"/>
        <v>-</v>
      </c>
      <c r="BD32" s="293" t="str">
        <f t="shared" si="25"/>
        <v>-</v>
      </c>
      <c r="BE32" s="293" t="str">
        <f t="shared" si="26"/>
        <v>-</v>
      </c>
      <c r="BF32" s="294" t="str">
        <f t="shared" si="27"/>
        <v>-</v>
      </c>
      <c r="BG32" s="9"/>
      <c r="BH32" s="9"/>
      <c r="BI32" s="9"/>
      <c r="BJ32" s="9"/>
      <c r="BZ32" s="9"/>
      <c r="CA32" s="476"/>
      <c r="CB32" s="515">
        <f>IFERROR(VLOOKUP(CA32,Feed!$B$4:$H$19,2,FALSE)*($BR$9/$BQ$9)+VLOOKUP(CA32,Feed!$B$4:$H$19,3,FALSE)*($BS$9/$BQ$9)+VLOOKUP(CA32,Feed!$B$4:$H$19,4,FALSE)*($BT$9/$BQ$9)+VLOOKUP(CA32,Feed!$B$4:$H$19,5,FALSE)*($BU$9/$BQ$9),0)</f>
        <v>0</v>
      </c>
      <c r="CC32" s="299" t="str">
        <f t="shared" si="35"/>
        <v>-</v>
      </c>
      <c r="CD32" s="299" t="str">
        <f t="shared" si="36"/>
        <v>-</v>
      </c>
      <c r="CE32" s="482"/>
      <c r="CF32" s="299" t="str">
        <f t="shared" si="40"/>
        <v>-</v>
      </c>
      <c r="CG32" s="300">
        <f t="shared" si="38"/>
        <v>0</v>
      </c>
      <c r="CH32" s="301" t="str">
        <f t="shared" si="39"/>
        <v>-</v>
      </c>
      <c r="CI32" s="9"/>
    </row>
    <row r="33" spans="39:87" ht="18.95" customHeight="1" x14ac:dyDescent="0.25">
      <c r="AM33" s="259">
        <v>28</v>
      </c>
      <c r="AN33" s="310" t="str">
        <f t="shared" si="29"/>
        <v>-</v>
      </c>
      <c r="AO33" s="9" t="str">
        <f t="shared" si="16"/>
        <v>-</v>
      </c>
      <c r="AP33" s="289" t="str">
        <f t="shared" si="17"/>
        <v>-</v>
      </c>
      <c r="AQ33" s="9" t="str">
        <f t="shared" si="18"/>
        <v>-</v>
      </c>
      <c r="AR33" s="453"/>
      <c r="AS33" s="453"/>
      <c r="AT33" s="229" t="str">
        <f t="shared" si="19"/>
        <v>-</v>
      </c>
      <c r="AU33" s="290" t="str">
        <f t="shared" si="20"/>
        <v>N/A</v>
      </c>
      <c r="AV33" s="453"/>
      <c r="AW33" s="290" t="str">
        <f t="shared" si="7"/>
        <v>N/A</v>
      </c>
      <c r="AX33" s="453"/>
      <c r="AY33" s="290" t="str">
        <f t="shared" si="21"/>
        <v>N/A</v>
      </c>
      <c r="AZ33" s="453"/>
      <c r="BA33" s="291" t="str">
        <f t="shared" si="22"/>
        <v>N/A</v>
      </c>
      <c r="BB33" s="292" t="str">
        <f t="shared" si="23"/>
        <v>-</v>
      </c>
      <c r="BC33" s="512" t="str">
        <f t="shared" si="24"/>
        <v>-</v>
      </c>
      <c r="BD33" s="293" t="str">
        <f t="shared" si="25"/>
        <v>-</v>
      </c>
      <c r="BE33" s="293" t="str">
        <f t="shared" si="26"/>
        <v>-</v>
      </c>
      <c r="BF33" s="294" t="str">
        <f t="shared" si="27"/>
        <v>-</v>
      </c>
      <c r="BG33" s="9"/>
      <c r="BH33" s="9"/>
      <c r="BI33" s="9"/>
      <c r="BJ33" s="9"/>
      <c r="BZ33" s="9"/>
      <c r="CA33" s="476"/>
      <c r="CB33" s="515">
        <f>IFERROR(VLOOKUP(CA33,Feed!$B$4:$H$19,2,FALSE)*($BR$9/$BQ$9)+VLOOKUP(CA33,Feed!$B$4:$H$19,3,FALSE)*($BS$9/$BQ$9)+VLOOKUP(CA33,Feed!$B$4:$H$19,4,FALSE)*($BT$9/$BQ$9)+VLOOKUP(CA33,Feed!$B$4:$H$19,5,FALSE)*($BU$9/$BQ$9),0)</f>
        <v>0</v>
      </c>
      <c r="CC33" s="299" t="str">
        <f t="shared" si="35"/>
        <v>-</v>
      </c>
      <c r="CD33" s="299" t="str">
        <f t="shared" si="36"/>
        <v>-</v>
      </c>
      <c r="CE33" s="482"/>
      <c r="CF33" s="299" t="str">
        <f t="shared" si="40"/>
        <v>-</v>
      </c>
      <c r="CG33" s="300">
        <f t="shared" si="38"/>
        <v>0</v>
      </c>
      <c r="CH33" s="301" t="str">
        <f t="shared" si="39"/>
        <v>-</v>
      </c>
      <c r="CI33" s="9"/>
    </row>
    <row r="34" spans="39:87" ht="18.95" customHeight="1" x14ac:dyDescent="0.25">
      <c r="AM34" s="259">
        <v>29</v>
      </c>
      <c r="AN34" s="310" t="str">
        <f t="shared" si="29"/>
        <v>-</v>
      </c>
      <c r="AO34" s="9" t="str">
        <f t="shared" si="16"/>
        <v>-</v>
      </c>
      <c r="AP34" s="289" t="str">
        <f t="shared" si="17"/>
        <v>-</v>
      </c>
      <c r="AQ34" s="9" t="str">
        <f t="shared" si="18"/>
        <v>-</v>
      </c>
      <c r="AR34" s="453"/>
      <c r="AS34" s="453"/>
      <c r="AT34" s="229" t="str">
        <f t="shared" si="19"/>
        <v>-</v>
      </c>
      <c r="AU34" s="290" t="str">
        <f t="shared" si="20"/>
        <v>N/A</v>
      </c>
      <c r="AV34" s="453"/>
      <c r="AW34" s="290" t="str">
        <f t="shared" si="7"/>
        <v>N/A</v>
      </c>
      <c r="AX34" s="453"/>
      <c r="AY34" s="290" t="str">
        <f t="shared" si="21"/>
        <v>N/A</v>
      </c>
      <c r="AZ34" s="453"/>
      <c r="BA34" s="291" t="str">
        <f t="shared" si="22"/>
        <v>N/A</v>
      </c>
      <c r="BB34" s="292" t="str">
        <f t="shared" si="23"/>
        <v>-</v>
      </c>
      <c r="BC34" s="512" t="str">
        <f t="shared" si="24"/>
        <v>-</v>
      </c>
      <c r="BD34" s="293" t="str">
        <f t="shared" si="25"/>
        <v>-</v>
      </c>
      <c r="BE34" s="293" t="str">
        <f t="shared" si="26"/>
        <v>-</v>
      </c>
      <c r="BF34" s="294" t="str">
        <f t="shared" si="27"/>
        <v>-</v>
      </c>
      <c r="BG34" s="9"/>
      <c r="BH34" s="9"/>
      <c r="BI34" s="9"/>
      <c r="BJ34" s="9"/>
      <c r="BZ34" s="9"/>
      <c r="CA34" s="338" t="s">
        <v>330</v>
      </c>
      <c r="CB34" s="516">
        <f>'AUM Evaluator'!$S$9*$CB$61</f>
        <v>78.359787947924048</v>
      </c>
      <c r="CC34" s="299">
        <v>1</v>
      </c>
      <c r="CD34" s="340">
        <v>0</v>
      </c>
      <c r="CE34" s="483"/>
      <c r="CF34" s="341" t="str">
        <f t="shared" si="40"/>
        <v>-</v>
      </c>
      <c r="CG34" s="342">
        <f t="shared" si="38"/>
        <v>0</v>
      </c>
      <c r="CH34" s="343">
        <f t="shared" si="39"/>
        <v>78.359787947924048</v>
      </c>
      <c r="CI34" s="9"/>
    </row>
    <row r="35" spans="39:87" ht="18.95" customHeight="1" x14ac:dyDescent="0.25">
      <c r="AM35" s="259">
        <v>30</v>
      </c>
      <c r="AN35" s="310" t="str">
        <f t="shared" si="29"/>
        <v>-</v>
      </c>
      <c r="AO35" s="9" t="str">
        <f t="shared" si="16"/>
        <v>-</v>
      </c>
      <c r="AP35" s="289" t="str">
        <f t="shared" si="17"/>
        <v>-</v>
      </c>
      <c r="AQ35" s="9" t="str">
        <f t="shared" si="18"/>
        <v>-</v>
      </c>
      <c r="AR35" s="453"/>
      <c r="AS35" s="453"/>
      <c r="AT35" s="229" t="str">
        <f t="shared" si="19"/>
        <v>-</v>
      </c>
      <c r="AU35" s="290" t="str">
        <f t="shared" si="20"/>
        <v>N/A</v>
      </c>
      <c r="AV35" s="453"/>
      <c r="AW35" s="290" t="str">
        <f t="shared" si="7"/>
        <v>N/A</v>
      </c>
      <c r="AX35" s="453"/>
      <c r="AY35" s="290" t="str">
        <f t="shared" si="21"/>
        <v>N/A</v>
      </c>
      <c r="AZ35" s="453"/>
      <c r="BA35" s="291" t="str">
        <f t="shared" si="22"/>
        <v>N/A</v>
      </c>
      <c r="BB35" s="292" t="str">
        <f t="shared" si="23"/>
        <v>-</v>
      </c>
      <c r="BC35" s="512" t="str">
        <f t="shared" si="24"/>
        <v>-</v>
      </c>
      <c r="BD35" s="293" t="str">
        <f t="shared" si="25"/>
        <v>-</v>
      </c>
      <c r="BE35" s="293" t="str">
        <f t="shared" si="26"/>
        <v>-</v>
      </c>
      <c r="BF35" s="294" t="str">
        <f t="shared" si="27"/>
        <v>-</v>
      </c>
      <c r="BG35" s="9"/>
      <c r="BH35" s="9"/>
      <c r="BI35" s="9"/>
      <c r="BJ35" s="9"/>
      <c r="BZ35" s="9"/>
      <c r="CA35" s="348"/>
      <c r="CB35" s="349"/>
      <c r="CC35" s="350" t="s">
        <v>58</v>
      </c>
      <c r="CD35" s="351"/>
      <c r="CE35" s="352">
        <f>SUM(CE28:CE34)</f>
        <v>0</v>
      </c>
      <c r="CF35" s="353">
        <f>SUM(CF28:CF34)</f>
        <v>0</v>
      </c>
      <c r="CG35" s="352">
        <f t="shared" si="38"/>
        <v>0</v>
      </c>
      <c r="CH35" s="354"/>
      <c r="CI35" s="9"/>
    </row>
    <row r="36" spans="39:87" ht="18.95" customHeight="1" thickBot="1" x14ac:dyDescent="0.3">
      <c r="AM36" s="259">
        <v>31</v>
      </c>
      <c r="AN36" s="310" t="str">
        <f t="shared" si="29"/>
        <v>-</v>
      </c>
      <c r="AO36" s="9" t="str">
        <f t="shared" si="16"/>
        <v>-</v>
      </c>
      <c r="AP36" s="289" t="str">
        <f t="shared" si="17"/>
        <v>-</v>
      </c>
      <c r="AQ36" s="9" t="str">
        <f t="shared" si="18"/>
        <v>-</v>
      </c>
      <c r="AR36" s="453"/>
      <c r="AS36" s="453"/>
      <c r="AT36" s="229" t="str">
        <f t="shared" si="19"/>
        <v>-</v>
      </c>
      <c r="AU36" s="290" t="str">
        <f t="shared" si="20"/>
        <v>N/A</v>
      </c>
      <c r="AV36" s="453"/>
      <c r="AW36" s="290" t="str">
        <f t="shared" si="7"/>
        <v>N/A</v>
      </c>
      <c r="AX36" s="453"/>
      <c r="AY36" s="290" t="str">
        <f t="shared" si="21"/>
        <v>N/A</v>
      </c>
      <c r="AZ36" s="453"/>
      <c r="BA36" s="291" t="str">
        <f t="shared" si="22"/>
        <v>N/A</v>
      </c>
      <c r="BB36" s="292" t="str">
        <f t="shared" si="23"/>
        <v>-</v>
      </c>
      <c r="BC36" s="512" t="str">
        <f t="shared" si="24"/>
        <v>-</v>
      </c>
      <c r="BD36" s="293" t="str">
        <f t="shared" si="25"/>
        <v>-</v>
      </c>
      <c r="BE36" s="293" t="str">
        <f t="shared" si="26"/>
        <v>-</v>
      </c>
      <c r="BF36" s="294" t="str">
        <f t="shared" si="27"/>
        <v>-</v>
      </c>
      <c r="BG36" s="9"/>
      <c r="BH36" s="9"/>
      <c r="BI36" s="9"/>
      <c r="BJ36" s="9"/>
      <c r="BZ36" s="9"/>
      <c r="CA36" s="363"/>
      <c r="CB36" s="364"/>
      <c r="CC36" s="365"/>
      <c r="CD36" s="366" t="s">
        <v>208</v>
      </c>
      <c r="CE36" s="366"/>
      <c r="CF36" s="367"/>
      <c r="CG36" s="367"/>
      <c r="CH36" s="368">
        <f>SUMPRODUCT(CF28:CF34,CH28:CH34,CC28:CC34)</f>
        <v>0</v>
      </c>
      <c r="CI36" s="9"/>
    </row>
    <row r="37" spans="39:87" ht="18.95" customHeight="1" thickBot="1" x14ac:dyDescent="0.3">
      <c r="AM37" s="259">
        <v>32</v>
      </c>
      <c r="AN37" s="310" t="str">
        <f t="shared" si="29"/>
        <v>-</v>
      </c>
      <c r="AO37" s="9" t="str">
        <f t="shared" si="16"/>
        <v>-</v>
      </c>
      <c r="AP37" s="289" t="str">
        <f t="shared" si="17"/>
        <v>-</v>
      </c>
      <c r="AQ37" s="9" t="str">
        <f t="shared" si="18"/>
        <v>-</v>
      </c>
      <c r="AR37" s="453"/>
      <c r="AS37" s="453"/>
      <c r="AT37" s="229" t="str">
        <f t="shared" si="19"/>
        <v>-</v>
      </c>
      <c r="AU37" s="290" t="str">
        <f t="shared" si="20"/>
        <v>N/A</v>
      </c>
      <c r="AV37" s="453"/>
      <c r="AW37" s="290" t="str">
        <f t="shared" si="7"/>
        <v>N/A</v>
      </c>
      <c r="AX37" s="453"/>
      <c r="AY37" s="290" t="str">
        <f t="shared" si="21"/>
        <v>N/A</v>
      </c>
      <c r="AZ37" s="453"/>
      <c r="BA37" s="291" t="str">
        <f t="shared" si="22"/>
        <v>N/A</v>
      </c>
      <c r="BB37" s="292" t="str">
        <f t="shared" si="23"/>
        <v>-</v>
      </c>
      <c r="BC37" s="512" t="str">
        <f t="shared" si="24"/>
        <v>-</v>
      </c>
      <c r="BD37" s="293" t="str">
        <f t="shared" si="25"/>
        <v>-</v>
      </c>
      <c r="BE37" s="293" t="str">
        <f t="shared" si="26"/>
        <v>-</v>
      </c>
      <c r="BF37" s="294" t="str">
        <f t="shared" si="27"/>
        <v>-</v>
      </c>
      <c r="BG37" s="9"/>
      <c r="BH37" s="9"/>
      <c r="BI37" s="9"/>
      <c r="BJ37" s="9"/>
      <c r="BZ37" s="9"/>
      <c r="CA37" s="9"/>
      <c r="CB37" s="9"/>
      <c r="CC37" s="9"/>
      <c r="CD37" s="9"/>
      <c r="CE37" s="9"/>
      <c r="CF37" s="9"/>
      <c r="CG37" s="9"/>
      <c r="CH37" s="9"/>
      <c r="CI37" s="9"/>
    </row>
    <row r="38" spans="39:87" ht="31.5" x14ac:dyDescent="0.25">
      <c r="AM38" s="259">
        <v>33</v>
      </c>
      <c r="AN38" s="310" t="str">
        <f t="shared" si="29"/>
        <v>-</v>
      </c>
      <c r="AO38" s="9" t="str">
        <f t="shared" si="16"/>
        <v>-</v>
      </c>
      <c r="AP38" s="289" t="str">
        <f t="shared" si="17"/>
        <v>-</v>
      </c>
      <c r="AQ38" s="9" t="str">
        <f t="shared" si="18"/>
        <v>-</v>
      </c>
      <c r="AR38" s="453"/>
      <c r="AS38" s="453"/>
      <c r="AT38" s="229" t="str">
        <f t="shared" si="19"/>
        <v>-</v>
      </c>
      <c r="AU38" s="290" t="str">
        <f t="shared" si="20"/>
        <v>N/A</v>
      </c>
      <c r="AV38" s="453"/>
      <c r="AW38" s="290" t="str">
        <f t="shared" si="7"/>
        <v>N/A</v>
      </c>
      <c r="AX38" s="453"/>
      <c r="AY38" s="290" t="str">
        <f t="shared" si="21"/>
        <v>N/A</v>
      </c>
      <c r="AZ38" s="453"/>
      <c r="BA38" s="291" t="str">
        <f t="shared" si="22"/>
        <v>N/A</v>
      </c>
      <c r="BB38" s="292" t="str">
        <f t="shared" si="23"/>
        <v>-</v>
      </c>
      <c r="BC38" s="512" t="str">
        <f t="shared" si="24"/>
        <v>-</v>
      </c>
      <c r="BD38" s="293" t="str">
        <f t="shared" si="25"/>
        <v>-</v>
      </c>
      <c r="BE38" s="293" t="str">
        <f t="shared" si="26"/>
        <v>-</v>
      </c>
      <c r="BF38" s="294" t="str">
        <f t="shared" si="27"/>
        <v>-</v>
      </c>
      <c r="BG38" s="9"/>
      <c r="BH38" s="9"/>
      <c r="BI38" s="9"/>
      <c r="BJ38" s="9"/>
      <c r="BZ38" s="9"/>
      <c r="CA38" s="273" t="str">
        <f>IF(BN10=BN17,"-",BN10)</f>
        <v>-</v>
      </c>
      <c r="CB38" s="54" t="s">
        <v>328</v>
      </c>
      <c r="CC38" s="54" t="s">
        <v>205</v>
      </c>
      <c r="CD38" s="54" t="s">
        <v>95</v>
      </c>
      <c r="CE38" s="54" t="s">
        <v>326</v>
      </c>
      <c r="CF38" s="54" t="s">
        <v>206</v>
      </c>
      <c r="CG38" s="54" t="s">
        <v>234</v>
      </c>
      <c r="CH38" s="274" t="s">
        <v>209</v>
      </c>
      <c r="CI38" s="9"/>
    </row>
    <row r="39" spans="39:87" ht="18.95" customHeight="1" x14ac:dyDescent="0.25">
      <c r="AM39" s="259">
        <v>34</v>
      </c>
      <c r="AN39" s="310" t="str">
        <f t="shared" si="29"/>
        <v>-</v>
      </c>
      <c r="AO39" s="9" t="str">
        <f t="shared" si="16"/>
        <v>-</v>
      </c>
      <c r="AP39" s="289" t="str">
        <f t="shared" si="17"/>
        <v>-</v>
      </c>
      <c r="AQ39" s="9" t="str">
        <f t="shared" si="18"/>
        <v>-</v>
      </c>
      <c r="AR39" s="453"/>
      <c r="AS39" s="453"/>
      <c r="AT39" s="229" t="str">
        <f t="shared" si="19"/>
        <v>-</v>
      </c>
      <c r="AU39" s="290" t="str">
        <f t="shared" si="20"/>
        <v>N/A</v>
      </c>
      <c r="AV39" s="453"/>
      <c r="AW39" s="290" t="str">
        <f t="shared" si="7"/>
        <v>N/A</v>
      </c>
      <c r="AX39" s="453"/>
      <c r="AY39" s="290" t="str">
        <f t="shared" si="21"/>
        <v>N/A</v>
      </c>
      <c r="AZ39" s="453"/>
      <c r="BA39" s="291" t="str">
        <f t="shared" si="22"/>
        <v>N/A</v>
      </c>
      <c r="BB39" s="292" t="str">
        <f t="shared" si="23"/>
        <v>-</v>
      </c>
      <c r="BC39" s="512" t="str">
        <f t="shared" si="24"/>
        <v>-</v>
      </c>
      <c r="BD39" s="293" t="str">
        <f t="shared" si="25"/>
        <v>-</v>
      </c>
      <c r="BE39" s="293" t="str">
        <f t="shared" si="26"/>
        <v>-</v>
      </c>
      <c r="BF39" s="294" t="str">
        <f t="shared" si="27"/>
        <v>-</v>
      </c>
      <c r="BG39" s="9"/>
      <c r="BH39" s="9"/>
      <c r="BI39" s="9"/>
      <c r="BJ39" s="9"/>
      <c r="BZ39" s="9"/>
      <c r="CA39" s="476"/>
      <c r="CB39" s="515">
        <f>IFERROR(VLOOKUP(CA39,Feed!$B$4:$H$19,2,FALSE)*($BR$10/$BQ$10)+VLOOKUP(CA39,Feed!$B$4:$H$19,3,FALSE)*($BS$10/$BQ$10)+VLOOKUP(CA39,Feed!$B$4:$H$19,4,FALSE)*($BT$10/$BQ$10)+VLOOKUP(CA39,Feed!$B$4:$H$19,5,FALSE)*($BU$10/$BQ$10),0)</f>
        <v>0</v>
      </c>
      <c r="CC39" s="299" t="str">
        <f t="shared" ref="CC39:CC44" si="41">IFERROR(VLOOKUP($CA39,FeedIngLst,6,FALSE),"-")</f>
        <v>-</v>
      </c>
      <c r="CD39" s="299" t="str">
        <f t="shared" ref="CD39:CD44" si="42">IFERROR(VLOOKUP($CA39,FeedIngLst,7,FALSE),"-")</f>
        <v>-</v>
      </c>
      <c r="CE39" s="482"/>
      <c r="CF39" s="299" t="str">
        <f>IFERROR(CE39/$CE$46,"-")</f>
        <v>-</v>
      </c>
      <c r="CG39" s="300">
        <f t="shared" ref="CG39:CG46" si="43">CE39*$R$15*$BQ$10/2000</f>
        <v>0</v>
      </c>
      <c r="CH39" s="301" t="str">
        <f t="shared" ref="CH39:CH45" si="44">IFERROR($CB39/$CC39/(1-$CD39),"-")</f>
        <v>-</v>
      </c>
      <c r="CI39" s="9"/>
    </row>
    <row r="40" spans="39:87" ht="18.95" customHeight="1" x14ac:dyDescent="0.25">
      <c r="AM40" s="259">
        <v>35</v>
      </c>
      <c r="AN40" s="310" t="str">
        <f t="shared" si="29"/>
        <v>-</v>
      </c>
      <c r="AO40" s="9" t="str">
        <f t="shared" si="16"/>
        <v>-</v>
      </c>
      <c r="AP40" s="289" t="str">
        <f t="shared" si="17"/>
        <v>-</v>
      </c>
      <c r="AQ40" s="9" t="str">
        <f t="shared" si="18"/>
        <v>-</v>
      </c>
      <c r="AR40" s="453"/>
      <c r="AS40" s="453"/>
      <c r="AT40" s="229" t="str">
        <f t="shared" si="19"/>
        <v>-</v>
      </c>
      <c r="AU40" s="290" t="str">
        <f t="shared" si="20"/>
        <v>N/A</v>
      </c>
      <c r="AV40" s="453"/>
      <c r="AW40" s="290" t="str">
        <f t="shared" si="7"/>
        <v>N/A</v>
      </c>
      <c r="AX40" s="453"/>
      <c r="AY40" s="290" t="str">
        <f t="shared" si="21"/>
        <v>N/A</v>
      </c>
      <c r="AZ40" s="453"/>
      <c r="BA40" s="291" t="str">
        <f t="shared" si="22"/>
        <v>N/A</v>
      </c>
      <c r="BB40" s="292" t="str">
        <f t="shared" si="23"/>
        <v>-</v>
      </c>
      <c r="BC40" s="512" t="str">
        <f t="shared" si="24"/>
        <v>-</v>
      </c>
      <c r="BD40" s="293" t="str">
        <f t="shared" si="25"/>
        <v>-</v>
      </c>
      <c r="BE40" s="293" t="str">
        <f t="shared" si="26"/>
        <v>-</v>
      </c>
      <c r="BF40" s="294" t="str">
        <f t="shared" si="27"/>
        <v>-</v>
      </c>
      <c r="BG40" s="9"/>
      <c r="BH40" s="9"/>
      <c r="BI40" s="9"/>
      <c r="BJ40" s="9"/>
      <c r="BZ40" s="9"/>
      <c r="CA40" s="476"/>
      <c r="CB40" s="515">
        <f>IFERROR(VLOOKUP(CA40,Feed!$B$4:$H$19,2,FALSE)*($BR$10/$BQ$10)+VLOOKUP(CA40,Feed!$B$4:$H$19,3,FALSE)*($BS$10/$BQ$10)+VLOOKUP(CA40,Feed!$B$4:$H$19,4,FALSE)*($BT$10/$BQ$10)+VLOOKUP(CA40,Feed!$B$4:$H$19,5,FALSE)*($BU$10/$BQ$10),0)</f>
        <v>0</v>
      </c>
      <c r="CC40" s="299" t="str">
        <f t="shared" si="41"/>
        <v>-</v>
      </c>
      <c r="CD40" s="299" t="str">
        <f t="shared" si="42"/>
        <v>-</v>
      </c>
      <c r="CE40" s="482"/>
      <c r="CF40" s="299" t="str">
        <f t="shared" ref="CF40:CF45" si="45">IFERROR(CE40/$CE$46,"-")</f>
        <v>-</v>
      </c>
      <c r="CG40" s="300">
        <f t="shared" si="43"/>
        <v>0</v>
      </c>
      <c r="CH40" s="301" t="str">
        <f t="shared" si="44"/>
        <v>-</v>
      </c>
      <c r="CI40" s="9"/>
    </row>
    <row r="41" spans="39:87" ht="18.95" customHeight="1" x14ac:dyDescent="0.25">
      <c r="AM41" s="259">
        <v>36</v>
      </c>
      <c r="AN41" s="310" t="str">
        <f t="shared" si="29"/>
        <v>-</v>
      </c>
      <c r="AO41" s="9" t="str">
        <f t="shared" si="16"/>
        <v>-</v>
      </c>
      <c r="AP41" s="289" t="str">
        <f t="shared" si="17"/>
        <v>-</v>
      </c>
      <c r="AQ41" s="9" t="str">
        <f t="shared" si="18"/>
        <v>-</v>
      </c>
      <c r="AR41" s="453"/>
      <c r="AS41" s="453"/>
      <c r="AT41" s="229" t="str">
        <f t="shared" si="19"/>
        <v>-</v>
      </c>
      <c r="AU41" s="290" t="str">
        <f t="shared" si="20"/>
        <v>N/A</v>
      </c>
      <c r="AV41" s="453"/>
      <c r="AW41" s="290" t="str">
        <f t="shared" si="7"/>
        <v>N/A</v>
      </c>
      <c r="AX41" s="453"/>
      <c r="AY41" s="290" t="str">
        <f t="shared" si="21"/>
        <v>N/A</v>
      </c>
      <c r="AZ41" s="453"/>
      <c r="BA41" s="291" t="str">
        <f t="shared" si="22"/>
        <v>N/A</v>
      </c>
      <c r="BB41" s="292" t="str">
        <f t="shared" si="23"/>
        <v>-</v>
      </c>
      <c r="BC41" s="512" t="str">
        <f t="shared" si="24"/>
        <v>-</v>
      </c>
      <c r="BD41" s="293" t="str">
        <f t="shared" si="25"/>
        <v>-</v>
      </c>
      <c r="BE41" s="293" t="str">
        <f t="shared" si="26"/>
        <v>-</v>
      </c>
      <c r="BF41" s="294" t="str">
        <f t="shared" si="27"/>
        <v>-</v>
      </c>
      <c r="BG41" s="9"/>
      <c r="BH41" s="9"/>
      <c r="BI41" s="9"/>
      <c r="BJ41" s="9"/>
      <c r="BZ41" s="9"/>
      <c r="CA41" s="476"/>
      <c r="CB41" s="515">
        <f>IFERROR(VLOOKUP(CA41,Feed!$B$4:$H$19,2,FALSE)*($BR$10/$BQ$10)+VLOOKUP(CA41,Feed!$B$4:$H$19,3,FALSE)*($BS$10/$BQ$10)+VLOOKUP(CA41,Feed!$B$4:$H$19,4,FALSE)*($BT$10/$BQ$10)+VLOOKUP(CA41,Feed!$B$4:$H$19,5,FALSE)*($BU$10/$BQ$10),0)</f>
        <v>0</v>
      </c>
      <c r="CC41" s="299" t="str">
        <f t="shared" si="41"/>
        <v>-</v>
      </c>
      <c r="CD41" s="299" t="str">
        <f t="shared" si="42"/>
        <v>-</v>
      </c>
      <c r="CE41" s="482"/>
      <c r="CF41" s="299" t="str">
        <f t="shared" si="45"/>
        <v>-</v>
      </c>
      <c r="CG41" s="300">
        <f t="shared" si="43"/>
        <v>0</v>
      </c>
      <c r="CH41" s="301" t="str">
        <f t="shared" si="44"/>
        <v>-</v>
      </c>
      <c r="CI41" s="9"/>
    </row>
    <row r="42" spans="39:87" ht="18.95" customHeight="1" x14ac:dyDescent="0.25">
      <c r="AM42" s="259">
        <v>37</v>
      </c>
      <c r="AN42" s="310" t="str">
        <f t="shared" si="29"/>
        <v>-</v>
      </c>
      <c r="AO42" s="9" t="str">
        <f t="shared" si="16"/>
        <v>-</v>
      </c>
      <c r="AP42" s="289" t="str">
        <f t="shared" si="17"/>
        <v>-</v>
      </c>
      <c r="AQ42" s="9" t="str">
        <f t="shared" si="18"/>
        <v>-</v>
      </c>
      <c r="AR42" s="453"/>
      <c r="AS42" s="453"/>
      <c r="AT42" s="229" t="str">
        <f t="shared" si="19"/>
        <v>-</v>
      </c>
      <c r="AU42" s="290" t="str">
        <f t="shared" si="20"/>
        <v>N/A</v>
      </c>
      <c r="AV42" s="453"/>
      <c r="AW42" s="290" t="str">
        <f t="shared" si="7"/>
        <v>N/A</v>
      </c>
      <c r="AX42" s="453"/>
      <c r="AY42" s="290" t="str">
        <f t="shared" si="21"/>
        <v>N/A</v>
      </c>
      <c r="AZ42" s="453"/>
      <c r="BA42" s="291" t="str">
        <f t="shared" si="22"/>
        <v>N/A</v>
      </c>
      <c r="BB42" s="292" t="str">
        <f t="shared" si="23"/>
        <v>-</v>
      </c>
      <c r="BC42" s="512" t="str">
        <f t="shared" si="24"/>
        <v>-</v>
      </c>
      <c r="BD42" s="293" t="str">
        <f t="shared" si="25"/>
        <v>-</v>
      </c>
      <c r="BE42" s="293" t="str">
        <f t="shared" si="26"/>
        <v>-</v>
      </c>
      <c r="BF42" s="294" t="str">
        <f t="shared" si="27"/>
        <v>-</v>
      </c>
      <c r="BG42" s="9"/>
      <c r="BH42" s="9"/>
      <c r="BI42" s="9"/>
      <c r="BJ42" s="9"/>
      <c r="BZ42" s="9"/>
      <c r="CA42" s="476"/>
      <c r="CB42" s="515">
        <f>IFERROR(VLOOKUP(CA42,Feed!$B$4:$H$19,2,FALSE)*($BR$10/$BQ$10)+VLOOKUP(CA42,Feed!$B$4:$H$19,3,FALSE)*($BS$10/$BQ$10)+VLOOKUP(CA42,Feed!$B$4:$H$19,4,FALSE)*($BT$10/$BQ$10)+VLOOKUP(CA42,Feed!$B$4:$H$19,5,FALSE)*($BU$10/$BQ$10),0)</f>
        <v>0</v>
      </c>
      <c r="CC42" s="299" t="str">
        <f t="shared" si="41"/>
        <v>-</v>
      </c>
      <c r="CD42" s="299" t="str">
        <f t="shared" si="42"/>
        <v>-</v>
      </c>
      <c r="CE42" s="482"/>
      <c r="CF42" s="299" t="str">
        <f t="shared" si="45"/>
        <v>-</v>
      </c>
      <c r="CG42" s="300">
        <f t="shared" si="43"/>
        <v>0</v>
      </c>
      <c r="CH42" s="301" t="str">
        <f t="shared" si="44"/>
        <v>-</v>
      </c>
      <c r="CI42" s="9"/>
    </row>
    <row r="43" spans="39:87" ht="18.95" customHeight="1" x14ac:dyDescent="0.25">
      <c r="AM43" s="259">
        <v>38</v>
      </c>
      <c r="AN43" s="310" t="str">
        <f t="shared" si="29"/>
        <v>-</v>
      </c>
      <c r="AO43" s="9" t="str">
        <f t="shared" si="16"/>
        <v>-</v>
      </c>
      <c r="AP43" s="289" t="str">
        <f t="shared" si="17"/>
        <v>-</v>
      </c>
      <c r="AQ43" s="9" t="str">
        <f t="shared" si="18"/>
        <v>-</v>
      </c>
      <c r="AR43" s="453"/>
      <c r="AS43" s="453"/>
      <c r="AT43" s="229" t="str">
        <f t="shared" si="19"/>
        <v>-</v>
      </c>
      <c r="AU43" s="290" t="str">
        <f t="shared" si="20"/>
        <v>N/A</v>
      </c>
      <c r="AV43" s="453"/>
      <c r="AW43" s="290" t="str">
        <f t="shared" si="7"/>
        <v>N/A</v>
      </c>
      <c r="AX43" s="453"/>
      <c r="AY43" s="290" t="str">
        <f t="shared" si="21"/>
        <v>N/A</v>
      </c>
      <c r="AZ43" s="453"/>
      <c r="BA43" s="291" t="str">
        <f t="shared" si="22"/>
        <v>N/A</v>
      </c>
      <c r="BB43" s="292" t="str">
        <f t="shared" si="23"/>
        <v>-</v>
      </c>
      <c r="BC43" s="512" t="str">
        <f t="shared" si="24"/>
        <v>-</v>
      </c>
      <c r="BD43" s="293" t="str">
        <f t="shared" si="25"/>
        <v>-</v>
      </c>
      <c r="BE43" s="293" t="str">
        <f t="shared" si="26"/>
        <v>-</v>
      </c>
      <c r="BF43" s="294" t="str">
        <f t="shared" si="27"/>
        <v>-</v>
      </c>
      <c r="BG43" s="9"/>
      <c r="BH43" s="9"/>
      <c r="BI43" s="9"/>
      <c r="BJ43" s="9"/>
      <c r="BZ43" s="9"/>
      <c r="CA43" s="476"/>
      <c r="CB43" s="515">
        <f>IFERROR(VLOOKUP(CA43,Feed!$B$4:$H$19,2,FALSE)*($BR$10/$BQ$10)+VLOOKUP(CA43,Feed!$B$4:$H$19,3,FALSE)*($BS$10/$BQ$10)+VLOOKUP(CA43,Feed!$B$4:$H$19,4,FALSE)*($BT$10/$BQ$10)+VLOOKUP(CA43,Feed!$B$4:$H$19,5,FALSE)*($BU$10/$BQ$10),0)</f>
        <v>0</v>
      </c>
      <c r="CC43" s="299" t="str">
        <f t="shared" si="41"/>
        <v>-</v>
      </c>
      <c r="CD43" s="299" t="str">
        <f t="shared" si="42"/>
        <v>-</v>
      </c>
      <c r="CE43" s="482"/>
      <c r="CF43" s="299" t="str">
        <f t="shared" si="45"/>
        <v>-</v>
      </c>
      <c r="CG43" s="300">
        <f t="shared" si="43"/>
        <v>0</v>
      </c>
      <c r="CH43" s="301" t="str">
        <f t="shared" si="44"/>
        <v>-</v>
      </c>
      <c r="CI43" s="9"/>
    </row>
    <row r="44" spans="39:87" ht="18.95" customHeight="1" x14ac:dyDescent="0.25">
      <c r="AM44" s="259">
        <v>39</v>
      </c>
      <c r="AN44" s="310" t="str">
        <f t="shared" si="29"/>
        <v>-</v>
      </c>
      <c r="AO44" s="9" t="str">
        <f t="shared" si="16"/>
        <v>-</v>
      </c>
      <c r="AP44" s="289" t="str">
        <f t="shared" si="17"/>
        <v>-</v>
      </c>
      <c r="AQ44" s="9" t="str">
        <f t="shared" si="18"/>
        <v>-</v>
      </c>
      <c r="AR44" s="453"/>
      <c r="AS44" s="453"/>
      <c r="AT44" s="229" t="str">
        <f t="shared" si="19"/>
        <v>-</v>
      </c>
      <c r="AU44" s="290" t="str">
        <f t="shared" si="20"/>
        <v>N/A</v>
      </c>
      <c r="AV44" s="453"/>
      <c r="AW44" s="290" t="str">
        <f t="shared" si="7"/>
        <v>N/A</v>
      </c>
      <c r="AX44" s="453"/>
      <c r="AY44" s="290" t="str">
        <f t="shared" si="21"/>
        <v>N/A</v>
      </c>
      <c r="AZ44" s="453"/>
      <c r="BA44" s="291" t="str">
        <f t="shared" si="22"/>
        <v>N/A</v>
      </c>
      <c r="BB44" s="292" t="str">
        <f t="shared" si="23"/>
        <v>-</v>
      </c>
      <c r="BC44" s="512" t="str">
        <f t="shared" si="24"/>
        <v>-</v>
      </c>
      <c r="BD44" s="293" t="str">
        <f t="shared" si="25"/>
        <v>-</v>
      </c>
      <c r="BE44" s="293" t="str">
        <f t="shared" si="26"/>
        <v>-</v>
      </c>
      <c r="BF44" s="294" t="str">
        <f t="shared" si="27"/>
        <v>-</v>
      </c>
      <c r="BG44" s="9"/>
      <c r="BH44" s="9"/>
      <c r="BI44" s="9"/>
      <c r="BJ44" s="9"/>
      <c r="BZ44" s="9"/>
      <c r="CA44" s="476"/>
      <c r="CB44" s="515">
        <f>IFERROR(VLOOKUP(CA44,Feed!$B$4:$H$19,2,FALSE)*($BR$10/$BQ$10)+VLOOKUP(CA44,Feed!$B$4:$H$19,3,FALSE)*($BS$10/$BQ$10)+VLOOKUP(CA44,Feed!$B$4:$H$19,4,FALSE)*($BT$10/$BQ$10)+VLOOKUP(CA44,Feed!$B$4:$H$19,5,FALSE)*($BU$10/$BQ$10),0)</f>
        <v>0</v>
      </c>
      <c r="CC44" s="299" t="str">
        <f t="shared" si="41"/>
        <v>-</v>
      </c>
      <c r="CD44" s="299" t="str">
        <f t="shared" si="42"/>
        <v>-</v>
      </c>
      <c r="CE44" s="482"/>
      <c r="CF44" s="299" t="str">
        <f t="shared" si="45"/>
        <v>-</v>
      </c>
      <c r="CG44" s="300">
        <f t="shared" si="43"/>
        <v>0</v>
      </c>
      <c r="CH44" s="301" t="str">
        <f t="shared" si="44"/>
        <v>-</v>
      </c>
      <c r="CI44" s="9"/>
    </row>
    <row r="45" spans="39:87" ht="18.95" customHeight="1" x14ac:dyDescent="0.25">
      <c r="AM45" s="259">
        <v>40</v>
      </c>
      <c r="AN45" s="310" t="str">
        <f t="shared" si="29"/>
        <v>-</v>
      </c>
      <c r="AO45" s="9" t="str">
        <f t="shared" si="16"/>
        <v>-</v>
      </c>
      <c r="AP45" s="289" t="str">
        <f t="shared" si="17"/>
        <v>-</v>
      </c>
      <c r="AQ45" s="9" t="str">
        <f t="shared" si="18"/>
        <v>-</v>
      </c>
      <c r="AR45" s="453"/>
      <c r="AS45" s="453"/>
      <c r="AT45" s="229" t="str">
        <f t="shared" si="19"/>
        <v>-</v>
      </c>
      <c r="AU45" s="290" t="str">
        <f t="shared" si="20"/>
        <v>N/A</v>
      </c>
      <c r="AV45" s="453"/>
      <c r="AW45" s="290" t="str">
        <f t="shared" si="7"/>
        <v>N/A</v>
      </c>
      <c r="AX45" s="453"/>
      <c r="AY45" s="290" t="str">
        <f t="shared" si="21"/>
        <v>N/A</v>
      </c>
      <c r="AZ45" s="453"/>
      <c r="BA45" s="291" t="str">
        <f t="shared" si="22"/>
        <v>N/A</v>
      </c>
      <c r="BB45" s="292" t="str">
        <f t="shared" si="23"/>
        <v>-</v>
      </c>
      <c r="BC45" s="512" t="str">
        <f t="shared" si="24"/>
        <v>-</v>
      </c>
      <c r="BD45" s="293" t="str">
        <f t="shared" si="25"/>
        <v>-</v>
      </c>
      <c r="BE45" s="293" t="str">
        <f t="shared" si="26"/>
        <v>-</v>
      </c>
      <c r="BF45" s="294" t="str">
        <f t="shared" si="27"/>
        <v>-</v>
      </c>
      <c r="BG45" s="9"/>
      <c r="BH45" s="9"/>
      <c r="BI45" s="9"/>
      <c r="BJ45" s="9"/>
      <c r="BZ45" s="9"/>
      <c r="CA45" s="338" t="s">
        <v>330</v>
      </c>
      <c r="CB45" s="516">
        <f>'AUM Evaluator'!$S$9*$CB$61</f>
        <v>78.359787947924048</v>
      </c>
      <c r="CC45" s="299">
        <v>1</v>
      </c>
      <c r="CD45" s="340">
        <v>0</v>
      </c>
      <c r="CE45" s="483"/>
      <c r="CF45" s="341" t="str">
        <f t="shared" si="45"/>
        <v>-</v>
      </c>
      <c r="CG45" s="342">
        <f t="shared" si="43"/>
        <v>0</v>
      </c>
      <c r="CH45" s="343">
        <f t="shared" si="44"/>
        <v>78.359787947924048</v>
      </c>
      <c r="CI45" s="9"/>
    </row>
    <row r="46" spans="39:87" ht="18.95" customHeight="1" x14ac:dyDescent="0.25">
      <c r="AM46" s="259">
        <v>41</v>
      </c>
      <c r="AN46" s="310" t="str">
        <f t="shared" si="29"/>
        <v>-</v>
      </c>
      <c r="AO46" s="9" t="str">
        <f t="shared" si="16"/>
        <v>-</v>
      </c>
      <c r="AP46" s="289" t="str">
        <f t="shared" si="17"/>
        <v>-</v>
      </c>
      <c r="AQ46" s="9" t="str">
        <f t="shared" si="18"/>
        <v>-</v>
      </c>
      <c r="AR46" s="453"/>
      <c r="AS46" s="453"/>
      <c r="AT46" s="229" t="str">
        <f t="shared" si="19"/>
        <v>-</v>
      </c>
      <c r="AU46" s="290" t="str">
        <f t="shared" si="20"/>
        <v>N/A</v>
      </c>
      <c r="AV46" s="453"/>
      <c r="AW46" s="290" t="str">
        <f t="shared" si="7"/>
        <v>N/A</v>
      </c>
      <c r="AX46" s="453"/>
      <c r="AY46" s="290" t="str">
        <f t="shared" si="21"/>
        <v>N/A</v>
      </c>
      <c r="AZ46" s="453"/>
      <c r="BA46" s="291" t="str">
        <f t="shared" si="22"/>
        <v>N/A</v>
      </c>
      <c r="BB46" s="292" t="str">
        <f t="shared" si="23"/>
        <v>-</v>
      </c>
      <c r="BC46" s="512" t="str">
        <f t="shared" si="24"/>
        <v>-</v>
      </c>
      <c r="BD46" s="293" t="str">
        <f t="shared" si="25"/>
        <v>-</v>
      </c>
      <c r="BE46" s="293" t="str">
        <f t="shared" si="26"/>
        <v>-</v>
      </c>
      <c r="BF46" s="294" t="str">
        <f t="shared" si="27"/>
        <v>-</v>
      </c>
      <c r="BG46" s="9"/>
      <c r="BH46" s="9"/>
      <c r="BI46" s="9"/>
      <c r="BJ46" s="9"/>
      <c r="BZ46" s="9"/>
      <c r="CA46" s="348"/>
      <c r="CB46" s="349"/>
      <c r="CC46" s="350" t="s">
        <v>58</v>
      </c>
      <c r="CD46" s="351"/>
      <c r="CE46" s="352">
        <f>SUM(CE39:CE45)</f>
        <v>0</v>
      </c>
      <c r="CF46" s="353">
        <f>SUM(CF39:CF45)</f>
        <v>0</v>
      </c>
      <c r="CG46" s="352">
        <f t="shared" si="43"/>
        <v>0</v>
      </c>
      <c r="CH46" s="354"/>
      <c r="CI46" s="9"/>
    </row>
    <row r="47" spans="39:87" ht="18.95" customHeight="1" thickBot="1" x14ac:dyDescent="0.3">
      <c r="AM47" s="259">
        <v>42</v>
      </c>
      <c r="AN47" s="310" t="str">
        <f t="shared" si="29"/>
        <v>-</v>
      </c>
      <c r="AO47" s="9" t="str">
        <f t="shared" si="16"/>
        <v>-</v>
      </c>
      <c r="AP47" s="289" t="str">
        <f t="shared" si="17"/>
        <v>-</v>
      </c>
      <c r="AQ47" s="9" t="str">
        <f t="shared" si="18"/>
        <v>-</v>
      </c>
      <c r="AR47" s="453"/>
      <c r="AS47" s="453"/>
      <c r="AT47" s="229" t="str">
        <f t="shared" si="19"/>
        <v>-</v>
      </c>
      <c r="AU47" s="290" t="str">
        <f t="shared" si="20"/>
        <v>N/A</v>
      </c>
      <c r="AV47" s="453"/>
      <c r="AW47" s="290" t="str">
        <f t="shared" si="7"/>
        <v>N/A</v>
      </c>
      <c r="AX47" s="453"/>
      <c r="AY47" s="290" t="str">
        <f t="shared" si="21"/>
        <v>N/A</v>
      </c>
      <c r="AZ47" s="453"/>
      <c r="BA47" s="291" t="str">
        <f t="shared" si="22"/>
        <v>N/A</v>
      </c>
      <c r="BB47" s="292" t="str">
        <f t="shared" si="23"/>
        <v>-</v>
      </c>
      <c r="BC47" s="512" t="str">
        <f t="shared" si="24"/>
        <v>-</v>
      </c>
      <c r="BD47" s="293" t="str">
        <f t="shared" si="25"/>
        <v>-</v>
      </c>
      <c r="BE47" s="293" t="str">
        <f t="shared" si="26"/>
        <v>-</v>
      </c>
      <c r="BF47" s="294" t="str">
        <f t="shared" si="27"/>
        <v>-</v>
      </c>
      <c r="BG47" s="9"/>
      <c r="BH47" s="9"/>
      <c r="BI47" s="9"/>
      <c r="BJ47" s="9"/>
      <c r="BZ47" s="9"/>
      <c r="CA47" s="363"/>
      <c r="CB47" s="364"/>
      <c r="CC47" s="365"/>
      <c r="CD47" s="366" t="s">
        <v>208</v>
      </c>
      <c r="CE47" s="366"/>
      <c r="CF47" s="367"/>
      <c r="CG47" s="367"/>
      <c r="CH47" s="368">
        <f>SUMPRODUCT(CF39:CF45,CH39:CH45,CC39:CC45)</f>
        <v>0</v>
      </c>
      <c r="CI47" s="9"/>
    </row>
    <row r="48" spans="39:87" ht="18.95" customHeight="1" thickBot="1" x14ac:dyDescent="0.3">
      <c r="AM48" s="259">
        <v>43</v>
      </c>
      <c r="AN48" s="310" t="str">
        <f t="shared" si="29"/>
        <v>-</v>
      </c>
      <c r="AO48" s="9" t="str">
        <f t="shared" si="16"/>
        <v>-</v>
      </c>
      <c r="AP48" s="289" t="str">
        <f t="shared" si="17"/>
        <v>-</v>
      </c>
      <c r="AQ48" s="9" t="str">
        <f t="shared" si="18"/>
        <v>-</v>
      </c>
      <c r="AR48" s="453"/>
      <c r="AS48" s="453"/>
      <c r="AT48" s="229" t="str">
        <f t="shared" si="19"/>
        <v>-</v>
      </c>
      <c r="AU48" s="290" t="str">
        <f t="shared" si="20"/>
        <v>N/A</v>
      </c>
      <c r="AV48" s="453"/>
      <c r="AW48" s="290" t="str">
        <f t="shared" si="7"/>
        <v>N/A</v>
      </c>
      <c r="AX48" s="453"/>
      <c r="AY48" s="290" t="str">
        <f t="shared" si="21"/>
        <v>N/A</v>
      </c>
      <c r="AZ48" s="453"/>
      <c r="BA48" s="291" t="str">
        <f t="shared" si="22"/>
        <v>N/A</v>
      </c>
      <c r="BB48" s="292" t="str">
        <f t="shared" si="23"/>
        <v>-</v>
      </c>
      <c r="BC48" s="512" t="str">
        <f t="shared" si="24"/>
        <v>-</v>
      </c>
      <c r="BD48" s="293" t="str">
        <f t="shared" si="25"/>
        <v>-</v>
      </c>
      <c r="BE48" s="293" t="str">
        <f t="shared" si="26"/>
        <v>-</v>
      </c>
      <c r="BF48" s="294" t="str">
        <f t="shared" si="27"/>
        <v>-</v>
      </c>
      <c r="BG48" s="9"/>
      <c r="BH48" s="9"/>
      <c r="BI48" s="9"/>
      <c r="BJ48" s="9"/>
      <c r="BZ48" s="9"/>
      <c r="CA48" s="9"/>
      <c r="CB48" s="9"/>
      <c r="CC48" s="9"/>
      <c r="CD48" s="9"/>
      <c r="CE48" s="9"/>
      <c r="CF48" s="9"/>
      <c r="CG48" s="9"/>
      <c r="CH48" s="9"/>
      <c r="CI48" s="9"/>
    </row>
    <row r="49" spans="39:87" ht="36" customHeight="1" x14ac:dyDescent="0.25">
      <c r="AM49" s="259">
        <v>44</v>
      </c>
      <c r="AN49" s="310" t="str">
        <f t="shared" si="29"/>
        <v>-</v>
      </c>
      <c r="AO49" s="9" t="str">
        <f t="shared" si="16"/>
        <v>-</v>
      </c>
      <c r="AP49" s="289" t="str">
        <f t="shared" si="17"/>
        <v>-</v>
      </c>
      <c r="AQ49" s="9" t="str">
        <f t="shared" si="18"/>
        <v>-</v>
      </c>
      <c r="AR49" s="453"/>
      <c r="AS49" s="453"/>
      <c r="AT49" s="229" t="str">
        <f t="shared" si="19"/>
        <v>-</v>
      </c>
      <c r="AU49" s="290" t="str">
        <f t="shared" si="20"/>
        <v>N/A</v>
      </c>
      <c r="AV49" s="453"/>
      <c r="AW49" s="290" t="str">
        <f t="shared" si="7"/>
        <v>N/A</v>
      </c>
      <c r="AX49" s="453"/>
      <c r="AY49" s="290" t="str">
        <f t="shared" si="21"/>
        <v>N/A</v>
      </c>
      <c r="AZ49" s="453"/>
      <c r="BA49" s="291" t="str">
        <f t="shared" si="22"/>
        <v>N/A</v>
      </c>
      <c r="BB49" s="292" t="str">
        <f t="shared" si="23"/>
        <v>-</v>
      </c>
      <c r="BC49" s="512" t="str">
        <f t="shared" si="24"/>
        <v>-</v>
      </c>
      <c r="BD49" s="293" t="str">
        <f t="shared" si="25"/>
        <v>-</v>
      </c>
      <c r="BE49" s="293" t="str">
        <f t="shared" si="26"/>
        <v>-</v>
      </c>
      <c r="BF49" s="294" t="str">
        <f t="shared" si="27"/>
        <v>-</v>
      </c>
      <c r="BG49" s="9"/>
      <c r="BH49" s="9"/>
      <c r="BI49" s="9"/>
      <c r="BJ49" s="9"/>
      <c r="BZ49" s="9"/>
      <c r="CA49" s="273" t="str">
        <f>IF(BN11=BN17,"-",BN11)</f>
        <v>-</v>
      </c>
      <c r="CB49" s="54" t="s">
        <v>328</v>
      </c>
      <c r="CC49" s="54" t="s">
        <v>205</v>
      </c>
      <c r="CD49" s="54" t="s">
        <v>95</v>
      </c>
      <c r="CE49" s="54" t="s">
        <v>326</v>
      </c>
      <c r="CF49" s="54" t="s">
        <v>206</v>
      </c>
      <c r="CG49" s="54" t="s">
        <v>234</v>
      </c>
      <c r="CH49" s="274" t="s">
        <v>209</v>
      </c>
      <c r="CI49" s="9"/>
    </row>
    <row r="50" spans="39:87" ht="18.95" customHeight="1" x14ac:dyDescent="0.25">
      <c r="AM50" s="259">
        <v>45</v>
      </c>
      <c r="AN50" s="310" t="str">
        <f t="shared" si="29"/>
        <v>-</v>
      </c>
      <c r="AO50" s="9" t="str">
        <f t="shared" si="16"/>
        <v>-</v>
      </c>
      <c r="AP50" s="289" t="str">
        <f t="shared" si="17"/>
        <v>-</v>
      </c>
      <c r="AQ50" s="9" t="str">
        <f t="shared" si="18"/>
        <v>-</v>
      </c>
      <c r="AR50" s="453"/>
      <c r="AS50" s="453"/>
      <c r="AT50" s="229" t="str">
        <f t="shared" si="19"/>
        <v>-</v>
      </c>
      <c r="AU50" s="290" t="str">
        <f t="shared" si="20"/>
        <v>N/A</v>
      </c>
      <c r="AV50" s="453"/>
      <c r="AW50" s="290" t="str">
        <f t="shared" si="7"/>
        <v>N/A</v>
      </c>
      <c r="AX50" s="453"/>
      <c r="AY50" s="290" t="str">
        <f t="shared" si="21"/>
        <v>N/A</v>
      </c>
      <c r="AZ50" s="453"/>
      <c r="BA50" s="291" t="str">
        <f t="shared" si="22"/>
        <v>N/A</v>
      </c>
      <c r="BB50" s="292" t="str">
        <f t="shared" si="23"/>
        <v>-</v>
      </c>
      <c r="BC50" s="512" t="str">
        <f t="shared" si="24"/>
        <v>-</v>
      </c>
      <c r="BD50" s="293" t="str">
        <f t="shared" si="25"/>
        <v>-</v>
      </c>
      <c r="BE50" s="293" t="str">
        <f t="shared" si="26"/>
        <v>-</v>
      </c>
      <c r="BF50" s="294" t="str">
        <f t="shared" si="27"/>
        <v>-</v>
      </c>
      <c r="BG50" s="9"/>
      <c r="BH50" s="9"/>
      <c r="BI50" s="9"/>
      <c r="BJ50" s="9"/>
      <c r="BZ50" s="9"/>
      <c r="CA50" s="476"/>
      <c r="CB50" s="515">
        <f>IFERROR(VLOOKUP(CA50,Feed!$B$4:$H$19,2,FALSE)*($BR$11/$BQ$11)+VLOOKUP(CA50,Feed!$B$4:$H$19,3,FALSE)*($BS$11/$BQ$11)+VLOOKUP(CA50,Feed!$B$4:$H$19,4,FALSE)*($BT$11/$BQ$11)+VLOOKUP(CA50,Feed!$B$4:$H$19,5,FALSE)*($BU$11/$BQ$11),0)</f>
        <v>0</v>
      </c>
      <c r="CC50" s="299" t="str">
        <f t="shared" ref="CC50:CC55" si="46">IFERROR(VLOOKUP($CA50,FeedIngLst,6,FALSE),"-")</f>
        <v>-</v>
      </c>
      <c r="CD50" s="299" t="str">
        <f t="shared" ref="CD50:CD55" si="47">IFERROR(VLOOKUP($CA50,FeedIngLst,7,FALSE),"-")</f>
        <v>-</v>
      </c>
      <c r="CE50" s="482"/>
      <c r="CF50" s="299" t="str">
        <f>IFERROR(CE50/$CE$57,"-")</f>
        <v>-</v>
      </c>
      <c r="CG50" s="300">
        <f t="shared" ref="CG50:CG57" si="48">CE50*$R$15*$BQ$11/2000</f>
        <v>0</v>
      </c>
      <c r="CH50" s="301" t="str">
        <f t="shared" ref="CH50:CH56" si="49">IFERROR($CB50/$CC50/(1-$CD50),"-")</f>
        <v>-</v>
      </c>
      <c r="CI50" s="9"/>
    </row>
    <row r="51" spans="39:87" ht="18.95" customHeight="1" x14ac:dyDescent="0.25">
      <c r="AM51" s="259">
        <v>46</v>
      </c>
      <c r="AN51" s="310" t="str">
        <f t="shared" si="29"/>
        <v>-</v>
      </c>
      <c r="AO51" s="9" t="str">
        <f t="shared" si="16"/>
        <v>-</v>
      </c>
      <c r="AP51" s="289" t="str">
        <f t="shared" si="17"/>
        <v>-</v>
      </c>
      <c r="AQ51" s="9" t="str">
        <f t="shared" si="18"/>
        <v>-</v>
      </c>
      <c r="AR51" s="453"/>
      <c r="AS51" s="453"/>
      <c r="AT51" s="229" t="str">
        <f t="shared" si="19"/>
        <v>-</v>
      </c>
      <c r="AU51" s="290" t="str">
        <f t="shared" si="20"/>
        <v>N/A</v>
      </c>
      <c r="AV51" s="453"/>
      <c r="AW51" s="290" t="str">
        <f t="shared" si="7"/>
        <v>N/A</v>
      </c>
      <c r="AX51" s="453"/>
      <c r="AY51" s="290" t="str">
        <f t="shared" si="21"/>
        <v>N/A</v>
      </c>
      <c r="AZ51" s="453"/>
      <c r="BA51" s="291" t="str">
        <f t="shared" si="22"/>
        <v>N/A</v>
      </c>
      <c r="BB51" s="292" t="str">
        <f t="shared" si="23"/>
        <v>-</v>
      </c>
      <c r="BC51" s="512" t="str">
        <f t="shared" si="24"/>
        <v>-</v>
      </c>
      <c r="BD51" s="293" t="str">
        <f t="shared" si="25"/>
        <v>-</v>
      </c>
      <c r="BE51" s="293" t="str">
        <f t="shared" si="26"/>
        <v>-</v>
      </c>
      <c r="BF51" s="294" t="str">
        <f t="shared" si="27"/>
        <v>-</v>
      </c>
      <c r="BG51" s="9"/>
      <c r="BH51" s="9"/>
      <c r="BI51" s="9"/>
      <c r="BJ51" s="9"/>
      <c r="BZ51" s="9"/>
      <c r="CA51" s="476"/>
      <c r="CB51" s="515">
        <f>IFERROR(VLOOKUP(CA51,Feed!$B$4:$H$19,2,FALSE)*($BR$11/$BQ$11)+VLOOKUP(CA51,Feed!$B$4:$H$19,3,FALSE)*($BS$11/$BQ$11)+VLOOKUP(CA51,Feed!$B$4:$H$19,4,FALSE)*($BT$11/$BQ$11)+VLOOKUP(CA51,Feed!$B$4:$H$19,5,FALSE)*($BU$11/$BQ$11),0)</f>
        <v>0</v>
      </c>
      <c r="CC51" s="299" t="str">
        <f t="shared" si="46"/>
        <v>-</v>
      </c>
      <c r="CD51" s="299" t="str">
        <f t="shared" si="47"/>
        <v>-</v>
      </c>
      <c r="CE51" s="482"/>
      <c r="CF51" s="299" t="str">
        <f t="shared" ref="CF51:CF56" si="50">IFERROR(CE51/$CE$57,"-")</f>
        <v>-</v>
      </c>
      <c r="CG51" s="300">
        <f t="shared" si="48"/>
        <v>0</v>
      </c>
      <c r="CH51" s="301" t="str">
        <f t="shared" si="49"/>
        <v>-</v>
      </c>
      <c r="CI51" s="9"/>
    </row>
    <row r="52" spans="39:87" ht="18.95" customHeight="1" x14ac:dyDescent="0.25">
      <c r="AM52" s="259">
        <v>47</v>
      </c>
      <c r="AN52" s="310" t="str">
        <f t="shared" si="29"/>
        <v>-</v>
      </c>
      <c r="AO52" s="9" t="str">
        <f t="shared" si="16"/>
        <v>-</v>
      </c>
      <c r="AP52" s="289" t="str">
        <f t="shared" si="17"/>
        <v>-</v>
      </c>
      <c r="AQ52" s="9" t="str">
        <f t="shared" si="18"/>
        <v>-</v>
      </c>
      <c r="AR52" s="453"/>
      <c r="AS52" s="453"/>
      <c r="AT52" s="229" t="str">
        <f t="shared" si="19"/>
        <v>-</v>
      </c>
      <c r="AU52" s="290" t="str">
        <f t="shared" si="20"/>
        <v>N/A</v>
      </c>
      <c r="AV52" s="453"/>
      <c r="AW52" s="290" t="str">
        <f t="shared" si="7"/>
        <v>N/A</v>
      </c>
      <c r="AX52" s="453"/>
      <c r="AY52" s="290" t="str">
        <f t="shared" si="21"/>
        <v>N/A</v>
      </c>
      <c r="AZ52" s="453"/>
      <c r="BA52" s="291" t="str">
        <f t="shared" si="22"/>
        <v>N/A</v>
      </c>
      <c r="BB52" s="292" t="str">
        <f t="shared" si="23"/>
        <v>-</v>
      </c>
      <c r="BC52" s="512" t="str">
        <f t="shared" si="24"/>
        <v>-</v>
      </c>
      <c r="BD52" s="293" t="str">
        <f t="shared" si="25"/>
        <v>-</v>
      </c>
      <c r="BE52" s="293" t="str">
        <f t="shared" si="26"/>
        <v>-</v>
      </c>
      <c r="BF52" s="294" t="str">
        <f t="shared" si="27"/>
        <v>-</v>
      </c>
      <c r="BG52" s="9"/>
      <c r="BH52" s="9"/>
      <c r="BI52" s="9"/>
      <c r="BJ52" s="9"/>
      <c r="BZ52" s="9"/>
      <c r="CA52" s="476"/>
      <c r="CB52" s="515">
        <f>IFERROR(VLOOKUP(CA52,Feed!$B$4:$H$19,2,FALSE)*($BR$11/$BQ$11)+VLOOKUP(CA52,Feed!$B$4:$H$19,3,FALSE)*($BS$11/$BQ$11)+VLOOKUP(CA52,Feed!$B$4:$H$19,4,FALSE)*($BT$11/$BQ$11)+VLOOKUP(CA52,Feed!$B$4:$H$19,5,FALSE)*($BU$11/$BQ$11),0)</f>
        <v>0</v>
      </c>
      <c r="CC52" s="299" t="str">
        <f t="shared" si="46"/>
        <v>-</v>
      </c>
      <c r="CD52" s="299" t="str">
        <f t="shared" si="47"/>
        <v>-</v>
      </c>
      <c r="CE52" s="482"/>
      <c r="CF52" s="299" t="str">
        <f t="shared" si="50"/>
        <v>-</v>
      </c>
      <c r="CG52" s="300">
        <f t="shared" si="48"/>
        <v>0</v>
      </c>
      <c r="CH52" s="301" t="str">
        <f t="shared" si="49"/>
        <v>-</v>
      </c>
      <c r="CI52" s="9"/>
    </row>
    <row r="53" spans="39:87" ht="18.95" customHeight="1" x14ac:dyDescent="0.25">
      <c r="AM53" s="259">
        <v>48</v>
      </c>
      <c r="AN53" s="310" t="str">
        <f t="shared" si="29"/>
        <v>-</v>
      </c>
      <c r="AO53" s="9" t="str">
        <f t="shared" si="16"/>
        <v>-</v>
      </c>
      <c r="AP53" s="289" t="str">
        <f t="shared" si="17"/>
        <v>-</v>
      </c>
      <c r="AQ53" s="9" t="str">
        <f t="shared" si="18"/>
        <v>-</v>
      </c>
      <c r="AR53" s="453"/>
      <c r="AS53" s="453"/>
      <c r="AT53" s="229" t="str">
        <f t="shared" si="19"/>
        <v>-</v>
      </c>
      <c r="AU53" s="290" t="str">
        <f t="shared" si="20"/>
        <v>N/A</v>
      </c>
      <c r="AV53" s="453"/>
      <c r="AW53" s="290" t="str">
        <f t="shared" si="7"/>
        <v>N/A</v>
      </c>
      <c r="AX53" s="453"/>
      <c r="AY53" s="290" t="str">
        <f t="shared" si="21"/>
        <v>N/A</v>
      </c>
      <c r="AZ53" s="453"/>
      <c r="BA53" s="291" t="str">
        <f t="shared" si="22"/>
        <v>N/A</v>
      </c>
      <c r="BB53" s="292" t="str">
        <f t="shared" si="23"/>
        <v>-</v>
      </c>
      <c r="BC53" s="512" t="str">
        <f t="shared" si="24"/>
        <v>-</v>
      </c>
      <c r="BD53" s="293" t="str">
        <f t="shared" si="25"/>
        <v>-</v>
      </c>
      <c r="BE53" s="293" t="str">
        <f t="shared" si="26"/>
        <v>-</v>
      </c>
      <c r="BF53" s="294" t="str">
        <f t="shared" si="27"/>
        <v>-</v>
      </c>
      <c r="BG53" s="9"/>
      <c r="BH53" s="9"/>
      <c r="BI53" s="9"/>
      <c r="BJ53" s="9"/>
      <c r="BZ53" s="9"/>
      <c r="CA53" s="476"/>
      <c r="CB53" s="515">
        <f>IFERROR(VLOOKUP(CA53,Feed!$B$4:$H$19,2,FALSE)*($BR$11/$BQ$11)+VLOOKUP(CA53,Feed!$B$4:$H$19,3,FALSE)*($BS$11/$BQ$11)+VLOOKUP(CA53,Feed!$B$4:$H$19,4,FALSE)*($BT$11/$BQ$11)+VLOOKUP(CA53,Feed!$B$4:$H$19,5,FALSE)*($BU$11/$BQ$11),0)</f>
        <v>0</v>
      </c>
      <c r="CC53" s="299" t="str">
        <f t="shared" si="46"/>
        <v>-</v>
      </c>
      <c r="CD53" s="299" t="str">
        <f t="shared" si="47"/>
        <v>-</v>
      </c>
      <c r="CE53" s="482"/>
      <c r="CF53" s="299" t="str">
        <f t="shared" si="50"/>
        <v>-</v>
      </c>
      <c r="CG53" s="300">
        <f t="shared" si="48"/>
        <v>0</v>
      </c>
      <c r="CH53" s="301" t="str">
        <f t="shared" si="49"/>
        <v>-</v>
      </c>
      <c r="CI53" s="9"/>
    </row>
    <row r="54" spans="39:87" ht="18.95" customHeight="1" x14ac:dyDescent="0.25">
      <c r="AM54" s="259">
        <v>49</v>
      </c>
      <c r="AN54" s="310" t="str">
        <f t="shared" si="29"/>
        <v>-</v>
      </c>
      <c r="AO54" s="9" t="str">
        <f t="shared" si="16"/>
        <v>-</v>
      </c>
      <c r="AP54" s="289" t="str">
        <f t="shared" si="17"/>
        <v>-</v>
      </c>
      <c r="AQ54" s="9" t="str">
        <f t="shared" si="18"/>
        <v>-</v>
      </c>
      <c r="AR54" s="453"/>
      <c r="AS54" s="453"/>
      <c r="AT54" s="229" t="str">
        <f t="shared" si="19"/>
        <v>-</v>
      </c>
      <c r="AU54" s="290" t="str">
        <f t="shared" si="20"/>
        <v>N/A</v>
      </c>
      <c r="AV54" s="453"/>
      <c r="AW54" s="290" t="str">
        <f t="shared" si="7"/>
        <v>N/A</v>
      </c>
      <c r="AX54" s="453"/>
      <c r="AY54" s="290" t="str">
        <f t="shared" si="21"/>
        <v>N/A</v>
      </c>
      <c r="AZ54" s="453"/>
      <c r="BA54" s="291" t="str">
        <f t="shared" si="22"/>
        <v>N/A</v>
      </c>
      <c r="BB54" s="292" t="str">
        <f t="shared" si="23"/>
        <v>-</v>
      </c>
      <c r="BC54" s="512" t="str">
        <f t="shared" si="24"/>
        <v>-</v>
      </c>
      <c r="BD54" s="293" t="str">
        <f t="shared" si="25"/>
        <v>-</v>
      </c>
      <c r="BE54" s="293" t="str">
        <f t="shared" si="26"/>
        <v>-</v>
      </c>
      <c r="BF54" s="294" t="str">
        <f t="shared" si="27"/>
        <v>-</v>
      </c>
      <c r="BG54" s="9"/>
      <c r="BH54" s="9"/>
      <c r="BI54" s="9"/>
      <c r="BJ54" s="9"/>
      <c r="BZ54" s="9"/>
      <c r="CA54" s="476"/>
      <c r="CB54" s="515">
        <f>IFERROR(VLOOKUP(CA54,Feed!$B$4:$H$19,2,FALSE)*($BR$11/$BQ$11)+VLOOKUP(CA54,Feed!$B$4:$H$19,3,FALSE)*($BS$11/$BQ$11)+VLOOKUP(CA54,Feed!$B$4:$H$19,4,FALSE)*($BT$11/$BQ$11)+VLOOKUP(CA54,Feed!$B$4:$H$19,5,FALSE)*($BU$11/$BQ$11),0)</f>
        <v>0</v>
      </c>
      <c r="CC54" s="299" t="str">
        <f t="shared" si="46"/>
        <v>-</v>
      </c>
      <c r="CD54" s="299" t="str">
        <f t="shared" si="47"/>
        <v>-</v>
      </c>
      <c r="CE54" s="482"/>
      <c r="CF54" s="299" t="str">
        <f t="shared" si="50"/>
        <v>-</v>
      </c>
      <c r="CG54" s="300">
        <f t="shared" si="48"/>
        <v>0</v>
      </c>
      <c r="CH54" s="301" t="str">
        <f t="shared" si="49"/>
        <v>-</v>
      </c>
      <c r="CI54" s="9"/>
    </row>
    <row r="55" spans="39:87" ht="18.95" customHeight="1" thickBot="1" x14ac:dyDescent="0.3">
      <c r="AM55" s="259">
        <v>50</v>
      </c>
      <c r="AN55" s="384" t="str">
        <f t="shared" si="29"/>
        <v>-</v>
      </c>
      <c r="AO55" s="385" t="str">
        <f t="shared" si="16"/>
        <v>-</v>
      </c>
      <c r="AP55" s="401" t="str">
        <f t="shared" si="17"/>
        <v>-</v>
      </c>
      <c r="AQ55" s="385" t="str">
        <f t="shared" si="18"/>
        <v>-</v>
      </c>
      <c r="AR55" s="454"/>
      <c r="AS55" s="455"/>
      <c r="AT55" s="402" t="str">
        <f t="shared" si="19"/>
        <v>-</v>
      </c>
      <c r="AU55" s="403" t="str">
        <f t="shared" si="20"/>
        <v>N/A</v>
      </c>
      <c r="AV55" s="455"/>
      <c r="AW55" s="403" t="str">
        <f t="shared" si="7"/>
        <v>N/A</v>
      </c>
      <c r="AX55" s="455"/>
      <c r="AY55" s="403" t="str">
        <f t="shared" si="21"/>
        <v>N/A</v>
      </c>
      <c r="AZ55" s="455"/>
      <c r="BA55" s="404" t="str">
        <f t="shared" si="22"/>
        <v>N/A</v>
      </c>
      <c r="BB55" s="405" t="str">
        <f t="shared" si="23"/>
        <v>-</v>
      </c>
      <c r="BC55" s="513" t="str">
        <f t="shared" si="24"/>
        <v>-</v>
      </c>
      <c r="BD55" s="406" t="str">
        <f t="shared" si="25"/>
        <v>-</v>
      </c>
      <c r="BE55" s="406" t="str">
        <f t="shared" si="26"/>
        <v>-</v>
      </c>
      <c r="BF55" s="407" t="str">
        <f t="shared" si="27"/>
        <v>-</v>
      </c>
      <c r="BG55" s="9"/>
      <c r="BH55" s="9"/>
      <c r="BI55" s="9"/>
      <c r="BJ55" s="9"/>
      <c r="BZ55" s="9"/>
      <c r="CA55" s="476"/>
      <c r="CB55" s="515">
        <f>IFERROR(VLOOKUP(CA55,Feed!$B$4:$H$19,2,FALSE)*($BR$11/$BQ$11)+VLOOKUP(CA55,Feed!$B$4:$H$19,3,FALSE)*($BS$11/$BQ$11)+VLOOKUP(CA55,Feed!$B$4:$H$19,4,FALSE)*($BT$11/$BQ$11)+VLOOKUP(CA55,Feed!$B$4:$H$19,5,FALSE)*($BU$11/$BQ$11),0)</f>
        <v>0</v>
      </c>
      <c r="CC55" s="299" t="str">
        <f t="shared" si="46"/>
        <v>-</v>
      </c>
      <c r="CD55" s="299" t="str">
        <f t="shared" si="47"/>
        <v>-</v>
      </c>
      <c r="CE55" s="482"/>
      <c r="CF55" s="299" t="str">
        <f t="shared" si="50"/>
        <v>-</v>
      </c>
      <c r="CG55" s="300">
        <f t="shared" si="48"/>
        <v>0</v>
      </c>
      <c r="CH55" s="301" t="str">
        <f t="shared" si="49"/>
        <v>-</v>
      </c>
      <c r="CI55" s="9"/>
    </row>
    <row r="56" spans="39:87" ht="18.95" customHeight="1" thickBot="1" x14ac:dyDescent="0.3">
      <c r="AM56" s="9"/>
      <c r="AN56" s="628" t="s">
        <v>138</v>
      </c>
      <c r="AO56" s="629"/>
      <c r="AP56" s="629"/>
      <c r="AQ56" s="629"/>
      <c r="AR56" s="408">
        <f>IFERROR(AVERAGE(AR6:AR55),)</f>
        <v>0</v>
      </c>
      <c r="AS56" s="408">
        <f>IFERROR(AVERAGE(AS6:AS55),)</f>
        <v>0</v>
      </c>
      <c r="AT56" s="408"/>
      <c r="AU56" s="408" t="str">
        <f>IFERROR(AVERAGE(AU6:AU55),"No weights entered")</f>
        <v>No weights entered</v>
      </c>
      <c r="AV56" s="408">
        <f>IFERROR(AVERAGE(AV6:AV55),)</f>
        <v>0</v>
      </c>
      <c r="AW56" s="408" t="str">
        <f>IFERROR(AVERAGE(AW6:AW55),"No weights entered")</f>
        <v>No weights entered</v>
      </c>
      <c r="AX56" s="408">
        <f>IFERROR(AVERAGE(AX6:AX55),)</f>
        <v>0</v>
      </c>
      <c r="AY56" s="408" t="str">
        <f>IFERROR(AVERAGE(AY6:AY55),"No weights entered")</f>
        <v>No weights entered</v>
      </c>
      <c r="AZ56" s="408">
        <f>IFERROR(AVERAGE(AZ6:AZ55),)</f>
        <v>0</v>
      </c>
      <c r="BA56" s="408" t="str">
        <f>IFERROR(AVERAGE(BA6:BA55),"No weights entered")</f>
        <v>No weights entered</v>
      </c>
      <c r="BB56" s="409" t="str">
        <f>IFERROR(AVERAGE(BB6:BB55),"-")</f>
        <v>-</v>
      </c>
      <c r="BC56" s="408"/>
      <c r="BD56" s="408" t="str">
        <f>IFERROR(AVERAGE(BD6:BD55),"-")</f>
        <v>-</v>
      </c>
      <c r="BE56" s="408" t="str">
        <f>IFERROR(AVERAGE(BE6:BE55),"-")</f>
        <v>-</v>
      </c>
      <c r="BF56" s="410" t="str">
        <f>IFERROR(AVERAGE(BF6:BF55),"-")</f>
        <v>-</v>
      </c>
      <c r="BG56" s="9"/>
      <c r="BH56" s="9"/>
      <c r="BI56" s="9"/>
      <c r="BJ56" s="9"/>
      <c r="BZ56" s="9"/>
      <c r="CA56" s="338" t="s">
        <v>330</v>
      </c>
      <c r="CB56" s="516">
        <f>'AUM Evaluator'!$S$9*$CB$61</f>
        <v>78.359787947924048</v>
      </c>
      <c r="CC56" s="299">
        <v>1</v>
      </c>
      <c r="CD56" s="340">
        <v>0</v>
      </c>
      <c r="CE56" s="483"/>
      <c r="CF56" s="341" t="str">
        <f t="shared" si="50"/>
        <v>-</v>
      </c>
      <c r="CG56" s="342">
        <f t="shared" si="48"/>
        <v>0</v>
      </c>
      <c r="CH56" s="343">
        <f t="shared" si="49"/>
        <v>78.359787947924048</v>
      </c>
      <c r="CI56" s="9"/>
    </row>
    <row r="57" spans="39:87" ht="18.95" customHeight="1" x14ac:dyDescent="0.25">
      <c r="AM57" s="9"/>
      <c r="AN57" s="9"/>
      <c r="AO57" s="9"/>
      <c r="AP57" s="9"/>
      <c r="AQ57" s="9"/>
      <c r="AR57" s="259" t="s">
        <v>244</v>
      </c>
      <c r="AS57" s="259">
        <f>COUNTIF(AS6:AS55,$BH$13)</f>
        <v>0</v>
      </c>
      <c r="AT57" s="259"/>
      <c r="AU57" s="259"/>
      <c r="AV57" s="259">
        <f>COUNTIF(AV6:AV55,$BH$13)</f>
        <v>0</v>
      </c>
      <c r="AW57" s="259"/>
      <c r="AX57" s="259">
        <f>COUNTIF(AX6:AX55,$BH$13)</f>
        <v>0</v>
      </c>
      <c r="AY57" s="259"/>
      <c r="AZ57" s="259">
        <f>COUNTIF(AZ6:AZ55,$BH$13)</f>
        <v>0</v>
      </c>
      <c r="BA57" s="521"/>
      <c r="BB57" s="9"/>
      <c r="BC57" s="514"/>
      <c r="BD57" s="9"/>
      <c r="BE57" s="9"/>
      <c r="BF57" s="9"/>
      <c r="BG57" s="9"/>
      <c r="BH57" s="9"/>
      <c r="BI57" s="9"/>
      <c r="BJ57" s="9"/>
      <c r="BZ57" s="9"/>
      <c r="CA57" s="348"/>
      <c r="CB57" s="349"/>
      <c r="CC57" s="350" t="s">
        <v>58</v>
      </c>
      <c r="CD57" s="351"/>
      <c r="CE57" s="352">
        <f>SUM(CE50:CE56)</f>
        <v>0</v>
      </c>
      <c r="CF57" s="353">
        <f>SUM(CF50:CF56)</f>
        <v>0</v>
      </c>
      <c r="CG57" s="352">
        <f t="shared" si="48"/>
        <v>0</v>
      </c>
      <c r="CH57" s="354"/>
      <c r="CI57" s="9"/>
    </row>
    <row r="58" spans="39:87" ht="18.95" customHeight="1" thickBot="1" x14ac:dyDescent="0.3">
      <c r="AM58" s="9"/>
      <c r="AN58" s="9"/>
      <c r="AO58" s="9"/>
      <c r="AP58" s="9"/>
      <c r="AQ58" s="9"/>
      <c r="AR58" s="259" t="s">
        <v>303</v>
      </c>
      <c r="AS58" s="259">
        <f>COUNTIF(AS6:AS55,$BH$14)</f>
        <v>0</v>
      </c>
      <c r="AT58" s="259"/>
      <c r="AU58" s="259"/>
      <c r="AV58" s="259">
        <f>COUNTIF(AV6:AV55,$BH$14)</f>
        <v>0</v>
      </c>
      <c r="AW58" s="259"/>
      <c r="AX58" s="259">
        <f>COUNTIF(AX6:AX55,$BH$14)</f>
        <v>0</v>
      </c>
      <c r="AY58" s="259"/>
      <c r="AZ58" s="259">
        <f>COUNTIF(AZ6:AZ55,$BH$14)</f>
        <v>0</v>
      </c>
      <c r="BA58" s="521"/>
      <c r="BB58" s="9"/>
      <c r="BC58" s="514"/>
      <c r="BD58" s="9"/>
      <c r="BE58" s="9"/>
      <c r="BF58" s="9"/>
      <c r="BG58" s="9"/>
      <c r="BH58" s="9"/>
      <c r="BI58" s="9"/>
      <c r="BJ58" s="9"/>
      <c r="BZ58" s="9"/>
      <c r="CA58" s="363"/>
      <c r="CB58" s="364"/>
      <c r="CC58" s="365"/>
      <c r="CD58" s="366" t="s">
        <v>208</v>
      </c>
      <c r="CE58" s="366"/>
      <c r="CF58" s="367">
        <f>SUM(CF51:CF57)</f>
        <v>0</v>
      </c>
      <c r="CG58" s="367"/>
      <c r="CH58" s="368">
        <f>SUMPRODUCT(CF50:CF56,CH50:CH56,CC50:CC56)</f>
        <v>0</v>
      </c>
      <c r="CI58" s="9"/>
    </row>
    <row r="59" spans="39:87" ht="18.95" customHeight="1" x14ac:dyDescent="0.25">
      <c r="AM59" s="9"/>
      <c r="AN59" s="9"/>
      <c r="AO59" s="9"/>
      <c r="AP59" s="9"/>
      <c r="AQ59" s="9"/>
      <c r="AR59" s="9"/>
      <c r="AS59" s="521"/>
      <c r="AT59" s="521"/>
      <c r="AU59" s="521"/>
      <c r="AV59" s="521"/>
      <c r="AW59" s="521"/>
      <c r="AX59" s="521"/>
      <c r="AY59" s="521"/>
      <c r="AZ59" s="521"/>
      <c r="BA59" s="521"/>
      <c r="BB59" s="9"/>
      <c r="BC59" s="514"/>
      <c r="BD59" s="9"/>
      <c r="BE59" s="9"/>
      <c r="BF59" s="9"/>
      <c r="BG59" s="9"/>
      <c r="BH59" s="9"/>
      <c r="BI59" s="9"/>
      <c r="BJ59" s="9"/>
      <c r="BZ59" s="9"/>
      <c r="CA59" s="9"/>
      <c r="CB59" s="9"/>
      <c r="CC59" s="9"/>
      <c r="CD59" s="9"/>
      <c r="CE59" s="9"/>
      <c r="CF59" s="9"/>
      <c r="CG59" s="9"/>
      <c r="CH59" s="9"/>
      <c r="CI59" s="9"/>
    </row>
    <row r="60" spans="39:87" ht="18.95" customHeight="1" x14ac:dyDescent="0.25">
      <c r="AP60" s="216" t="s">
        <v>251</v>
      </c>
      <c r="AS60" s="411">
        <f>(AZ56+AR56)/2</f>
        <v>0</v>
      </c>
      <c r="AT60" s="411"/>
      <c r="BZ60" s="9"/>
      <c r="CA60" s="259" t="s">
        <v>210</v>
      </c>
      <c r="CB60" s="259">
        <v>780</v>
      </c>
      <c r="CC60" s="259" t="s">
        <v>171</v>
      </c>
      <c r="CD60" s="9"/>
      <c r="CE60" s="9"/>
      <c r="CF60" s="9"/>
      <c r="CG60" s="9"/>
      <c r="CH60" s="9"/>
      <c r="CI60" s="9"/>
    </row>
    <row r="61" spans="39:87" ht="18.95" customHeight="1" x14ac:dyDescent="0.25">
      <c r="BZ61" s="9"/>
      <c r="CA61" s="259" t="s">
        <v>211</v>
      </c>
      <c r="CB61" s="412">
        <f>2000/CB60</f>
        <v>2.5641025641025643</v>
      </c>
      <c r="CC61" s="259"/>
      <c r="CD61" s="9"/>
      <c r="CE61" s="9"/>
      <c r="CF61" s="9"/>
      <c r="CG61" s="9"/>
      <c r="CH61" s="9"/>
      <c r="CI61" s="9"/>
    </row>
    <row r="98" spans="40:43" ht="18.95" customHeight="1" x14ac:dyDescent="0.25">
      <c r="AN98" s="630" t="s">
        <v>190</v>
      </c>
      <c r="AO98" s="631"/>
      <c r="AP98" s="631"/>
      <c r="AQ98" s="632"/>
    </row>
    <row r="99" spans="40:43" ht="18.95" customHeight="1" x14ac:dyDescent="0.25">
      <c r="AN99" s="413"/>
      <c r="AO99" s="633" t="s">
        <v>110</v>
      </c>
      <c r="AP99" s="633"/>
      <c r="AQ99" s="414" t="s">
        <v>111</v>
      </c>
    </row>
    <row r="100" spans="40:43" ht="18.95" customHeight="1" x14ac:dyDescent="0.25">
      <c r="AN100" s="415" t="s">
        <v>191</v>
      </c>
      <c r="AO100" s="416"/>
      <c r="AP100" s="416"/>
      <c r="AQ100" s="417"/>
    </row>
    <row r="101" spans="40:43" ht="18.95" customHeight="1" x14ac:dyDescent="0.25">
      <c r="AN101" s="415"/>
      <c r="AO101" s="416" t="s">
        <v>112</v>
      </c>
      <c r="AP101" s="416"/>
      <c r="AQ101" s="418">
        <v>1.32</v>
      </c>
    </row>
    <row r="102" spans="40:43" ht="18.95" customHeight="1" x14ac:dyDescent="0.25">
      <c r="AN102" s="415"/>
      <c r="AO102" s="416" t="s">
        <v>113</v>
      </c>
      <c r="AP102" s="416"/>
      <c r="AQ102" s="418">
        <v>0</v>
      </c>
    </row>
    <row r="103" spans="40:43" ht="18.95" customHeight="1" x14ac:dyDescent="0.25">
      <c r="AN103" s="415"/>
      <c r="AO103" s="419" t="s">
        <v>114</v>
      </c>
      <c r="AP103" s="419"/>
      <c r="AQ103" s="418">
        <v>1.71</v>
      </c>
    </row>
    <row r="104" spans="40:43" ht="18.95" customHeight="1" x14ac:dyDescent="0.25">
      <c r="AN104" s="415"/>
      <c r="AO104" s="420" t="s">
        <v>115</v>
      </c>
      <c r="AP104" s="421"/>
      <c r="AQ104" s="418">
        <v>1.33</v>
      </c>
    </row>
    <row r="105" spans="40:43" ht="18.95" customHeight="1" x14ac:dyDescent="0.25">
      <c r="AN105" s="415"/>
      <c r="AO105" s="416" t="s">
        <v>116</v>
      </c>
      <c r="AP105" s="416"/>
      <c r="AQ105" s="418">
        <v>1.1499999999999999</v>
      </c>
    </row>
    <row r="106" spans="40:43" ht="18.95" customHeight="1" x14ac:dyDescent="0.25">
      <c r="AN106" s="415"/>
      <c r="AO106" s="416" t="s">
        <v>117</v>
      </c>
      <c r="AP106" s="416"/>
      <c r="AQ106" s="422">
        <v>3.29</v>
      </c>
    </row>
    <row r="107" spans="40:43" ht="18.95" customHeight="1" x14ac:dyDescent="0.25">
      <c r="AN107" s="415"/>
      <c r="AO107" s="416" t="s">
        <v>118</v>
      </c>
      <c r="AP107" s="416"/>
      <c r="AQ107" s="423">
        <v>3.94</v>
      </c>
    </row>
    <row r="108" spans="40:43" ht="18.95" customHeight="1" x14ac:dyDescent="0.25">
      <c r="AN108" s="415"/>
      <c r="AO108" s="416" t="s">
        <v>119</v>
      </c>
      <c r="AP108" s="416"/>
      <c r="AQ108" s="423">
        <v>2.2799999999999998</v>
      </c>
    </row>
    <row r="109" spans="40:43" ht="18.95" customHeight="1" x14ac:dyDescent="0.25">
      <c r="AN109" s="415"/>
      <c r="AO109" s="416"/>
      <c r="AP109" s="416"/>
      <c r="AQ109" s="418">
        <f>+SUM(AQ101:AQ108)*AO94</f>
        <v>0</v>
      </c>
    </row>
    <row r="110" spans="40:43" ht="18.95" customHeight="1" x14ac:dyDescent="0.25">
      <c r="AN110" s="415" t="s">
        <v>120</v>
      </c>
      <c r="AO110" s="416"/>
      <c r="AP110" s="416"/>
      <c r="AQ110" s="417"/>
    </row>
    <row r="111" spans="40:43" ht="18.95" customHeight="1" x14ac:dyDescent="0.25">
      <c r="AN111" s="415"/>
      <c r="AO111" s="416" t="s">
        <v>121</v>
      </c>
      <c r="AP111" s="416"/>
      <c r="AQ111" s="418">
        <v>696</v>
      </c>
    </row>
    <row r="112" spans="40:43" ht="18.95" customHeight="1" x14ac:dyDescent="0.25">
      <c r="AN112" s="415"/>
      <c r="AO112" s="416"/>
      <c r="AP112" s="416"/>
      <c r="AQ112" s="417"/>
    </row>
    <row r="113" spans="40:43" ht="18.95" customHeight="1" x14ac:dyDescent="0.25">
      <c r="AN113" s="415" t="s">
        <v>122</v>
      </c>
      <c r="AO113" s="416"/>
      <c r="AP113" s="424" t="s">
        <v>123</v>
      </c>
      <c r="AQ113" s="425">
        <f>+AZ213</f>
        <v>0</v>
      </c>
    </row>
    <row r="114" spans="40:43" ht="18.95" customHeight="1" x14ac:dyDescent="0.25">
      <c r="AN114" s="415"/>
      <c r="AO114" s="623"/>
      <c r="AP114" s="623"/>
      <c r="AQ114" s="418">
        <v>0</v>
      </c>
    </row>
    <row r="115" spans="40:43" ht="18.95" customHeight="1" x14ac:dyDescent="0.25">
      <c r="AQ115" s="426"/>
    </row>
    <row r="116" spans="40:43" ht="18.95" customHeight="1" x14ac:dyDescent="0.25">
      <c r="AN116" s="415" t="s">
        <v>124</v>
      </c>
      <c r="AO116" s="416"/>
      <c r="AP116" s="416"/>
      <c r="AQ116" s="418" t="e">
        <f>+((SUM(AQ113,AQ109,AQ118,#REF!)*8.5%)/365)*80</f>
        <v>#REF!</v>
      </c>
    </row>
    <row r="117" spans="40:43" ht="18.95" customHeight="1" x14ac:dyDescent="0.25">
      <c r="AN117" s="415"/>
      <c r="AO117" s="416"/>
      <c r="AP117" s="416"/>
      <c r="AQ117" s="418" t="s">
        <v>125</v>
      </c>
    </row>
    <row r="118" spans="40:43" ht="18.95" customHeight="1" x14ac:dyDescent="0.25">
      <c r="AN118" s="427" t="s">
        <v>19</v>
      </c>
      <c r="AO118" s="428"/>
      <c r="AQ118" s="429">
        <v>300</v>
      </c>
    </row>
    <row r="119" spans="40:43" ht="18.95" customHeight="1" x14ac:dyDescent="0.25">
      <c r="AQ119" s="426"/>
    </row>
    <row r="120" spans="40:43" ht="18.95" customHeight="1" x14ac:dyDescent="0.25">
      <c r="AN120" s="415" t="s">
        <v>126</v>
      </c>
      <c r="AP120" s="416" t="s">
        <v>127</v>
      </c>
      <c r="AQ120" s="430">
        <f>30*AO96</f>
        <v>0</v>
      </c>
    </row>
    <row r="121" spans="40:43" ht="18.95" customHeight="1" x14ac:dyDescent="0.25">
      <c r="AN121" s="431"/>
      <c r="AO121" s="624" t="s">
        <v>128</v>
      </c>
      <c r="AP121" s="624"/>
      <c r="AQ121" s="432" t="e">
        <f>+SUM(AQ109,AQ118,AQ111,AQ113,AQ114,AQ116,AQ120)</f>
        <v>#REF!</v>
      </c>
    </row>
  </sheetData>
  <sheetProtection sheet="1" objects="1" scenarios="1"/>
  <protectedRanges>
    <protectedRange sqref="J5:J13" name="Input"/>
    <protectedRange sqref="Q5:Q14 S5:W14 AA5:AC14" name="Lot Summary"/>
    <protectedRange sqref="AR2:BA2 AR6:AS55 AV6:AV55 AX6:AX55 AZ6:AZ55" name="Animal Information"/>
    <protectedRange sqref="BN7:BP11 CA6:CA11 CA17:CA22 CA28:CA33 CA39:CA44 CA50:CA55 CE50:CE56 CE39:CE45 CE28:CE34 CE17:CE23 CE6:CE12" name="Feed Rations"/>
    <protectedRange sqref="CW5:DA18 DJ5:DK29 DM5:DN29 DP3:DP29" name="Animal Health"/>
  </protectedRanges>
  <mergeCells count="46">
    <mergeCell ref="CI1:CI2"/>
    <mergeCell ref="CM1:CO1"/>
    <mergeCell ref="CP1:CS2"/>
    <mergeCell ref="CW1:DB1"/>
    <mergeCell ref="A1:F1"/>
    <mergeCell ref="I1:K1"/>
    <mergeCell ref="L1:L2"/>
    <mergeCell ref="P1:AE1"/>
    <mergeCell ref="AG1:AJ2"/>
    <mergeCell ref="AN1:BF1"/>
    <mergeCell ref="EM1:EP2"/>
    <mergeCell ref="A2:F2"/>
    <mergeCell ref="AN2:AQ2"/>
    <mergeCell ref="AS2:AU2"/>
    <mergeCell ref="AV2:AW2"/>
    <mergeCell ref="AX2:AY2"/>
    <mergeCell ref="AZ2:BA2"/>
    <mergeCell ref="BB2:BF2"/>
    <mergeCell ref="DC1:DF2"/>
    <mergeCell ref="DJ1:DQ1"/>
    <mergeCell ref="DR1:DU2"/>
    <mergeCell ref="DY1:EB1"/>
    <mergeCell ref="EC1:EF2"/>
    <mergeCell ref="EK1:EL1"/>
    <mergeCell ref="BG1:BJ2"/>
    <mergeCell ref="BN1:CH1"/>
    <mergeCell ref="A12:F12"/>
    <mergeCell ref="A3:F3"/>
    <mergeCell ref="A5:F5"/>
    <mergeCell ref="BN5:BY5"/>
    <mergeCell ref="DY5:EB5"/>
    <mergeCell ref="A6:F6"/>
    <mergeCell ref="A7:F7"/>
    <mergeCell ref="A8:F8"/>
    <mergeCell ref="A9:F9"/>
    <mergeCell ref="A10:F10"/>
    <mergeCell ref="A11:F11"/>
    <mergeCell ref="DY11:EB11"/>
    <mergeCell ref="AO114:AP114"/>
    <mergeCell ref="AO121:AP121"/>
    <mergeCell ref="DY16:DY17"/>
    <mergeCell ref="DZ24:EA24"/>
    <mergeCell ref="DZ25:EA25"/>
    <mergeCell ref="AN56:AQ56"/>
    <mergeCell ref="AN98:AQ98"/>
    <mergeCell ref="AO99:AP99"/>
  </mergeCells>
  <conditionalFormatting sqref="DZ25:EB25">
    <cfRule type="colorScale" priority="2">
      <colorScale>
        <cfvo type="num" val="&quot;&lt;0&quot;"/>
        <cfvo type="num" val="&quot;&gt;=0&quot;"/>
        <color rgb="FFC00000"/>
        <color theme="1"/>
      </colorScale>
    </cfRule>
  </conditionalFormatting>
  <conditionalFormatting sqref="EB25">
    <cfRule type="cellIs" dxfId="1" priority="1" operator="lessThan">
      <formula>0</formula>
    </cfRule>
  </conditionalFormatting>
  <dataValidations count="12">
    <dataValidation type="list" allowBlank="1" showInputMessage="1" showErrorMessage="1" sqref="S5:S14" xr:uid="{7C0D90D6-92A1-417F-A9FB-4055B5B26BA4}">
      <formula1>$AH$7:$AH$11</formula1>
    </dataValidation>
    <dataValidation type="custom" allowBlank="1" showInputMessage="1" showErrorMessage="1" error="Sum of animals sold exceeds the number of head purchased or entered into the program." sqref="AA5:AA14" xr:uid="{BBA3DFAD-2500-4AE5-8DD5-60F150AD2F5E}">
      <formula1>SUM($AA$5:$AA$14)&lt;=$R$15</formula1>
    </dataValidation>
    <dataValidation type="whole" allowBlank="1" showInputMessage="1" showErrorMessage="1" error="The number of head sold exceeds the number of animals purchased or entered into the program." sqref="AA15" xr:uid="{936E1C3A-3956-4E43-8550-DE9DC1285D68}">
      <formula1>0</formula1>
      <formula2>R15</formula2>
    </dataValidation>
    <dataValidation type="whole" allowBlank="1" showInputMessage="1" showErrorMessage="1" sqref="DK5:DK29" xr:uid="{236C0E08-FFFE-4445-B292-A8DA44DA265C}">
      <formula1>MIN($AP$6:$AP$55,$AR$2,$AS$2,$AV$2,$AX$2,$AZ$2)</formula1>
      <formula2>MAX($AP$6:$AP$55,$AR$2,$AS$2,$AV$2,$AX$2,$AZ$2)</formula2>
    </dataValidation>
    <dataValidation type="date" allowBlank="1" showInputMessage="1" showErrorMessage="1" error="Feed end date must be later than the first date cattle are purchased and on or before the date that the sale is recorded." prompt="Feed end date must be later than the first date cattle are purchased and on or before the date that the sale is recorded." sqref="BP7:BP11" xr:uid="{03CE90D2-098B-4D4A-AC9C-3D019E45D7CA}">
      <formula1>$BO$2</formula1>
      <formula2>$BQ$2</formula2>
    </dataValidation>
    <dataValidation type="whole" allowBlank="1" showInputMessage="1" showErrorMessage="1" sqref="DJ5:DJ29" xr:uid="{A91C69E6-5856-4298-B23B-C8F1F47081AE}">
      <formula1>MIN(AN6:AN55)</formula1>
      <formula2>MAX(AN6:AN55)</formula2>
    </dataValidation>
    <dataValidation type="date" allowBlank="1" showInputMessage="1" showErrorMessage="1" error="Feed start date must be later than the first date cattle are purchased and before the date that the sale is recorded." prompt="Feed start date must be later than the first date cattle are purchased and before the date that the sale is recorded." sqref="BO7:BO11" xr:uid="{CD6DB707-5E6C-4201-81F4-EA802A7FC7BA}">
      <formula1>$BO$2</formula1>
      <formula2>$BQ$2</formula2>
    </dataValidation>
    <dataValidation type="list" allowBlank="1" showInputMessage="1" showErrorMessage="1" sqref="CO3" xr:uid="{414E1A5E-7768-4C1D-8134-79F7CD95D296}">
      <formula1>$BN$7:$BN$11</formula1>
    </dataValidation>
    <dataValidation type="list" allowBlank="1" showInputMessage="1" showErrorMessage="1" sqref="DN5:DN29" xr:uid="{C6F15426-9BFC-4ED1-8319-25F62647DB67}">
      <formula1>$CW$5:$CW$18</formula1>
    </dataValidation>
    <dataValidation type="list" allowBlank="1" showInputMessage="1" showErrorMessage="1" sqref="CZ5:CZ18" xr:uid="{53A849FF-3996-4E54-BDB3-D4D2B0E421EB}">
      <formula1>$DD$6:$DD$7</formula1>
    </dataValidation>
    <dataValidation allowBlank="1" showInputMessage="1" showErrorMessage="1" prompt="The sum of ration ingredients as a percent of the total dry matter in the diet must equal 100%." sqref="CF28:CG34 CF17:CG23 CF6:CG12 CF39 CF41:CG45 CG39:CG40" xr:uid="{5E12DEA3-D918-4592-B677-7C1178E0BC9F}"/>
    <dataValidation type="whole" allowBlank="1" showInputMessage="1" showErrorMessage="1" sqref="DJ30:DL30" xr:uid="{DEB92A45-8845-41C6-B94A-3E5165F09986}">
      <formula1>#REF!</formula1>
      <formula2>#REF!</formula2>
    </dataValidation>
  </dataValidations>
  <hyperlinks>
    <hyperlink ref="A11:F11" location="'Lot 5'!EB1" display="Grower-finisher budget" xr:uid="{092688E8-A8A8-41D8-A3A7-81786894F4FA}"/>
    <hyperlink ref="BG1:BJ2" location="'Lot 5'!A1" display="Return to navigation menu" xr:uid="{61DDD5E1-7886-4AB4-AF26-272F70A5BB98}"/>
    <hyperlink ref="AG1:AJ2" location="'Lot 5'!A1" display="Return to navigation menu" xr:uid="{04BCE4AB-68EB-404B-A4FF-5095A583951C}"/>
    <hyperlink ref="EC1:EF2" location="'Lot 5'!A1" display="Return to navigation menu" xr:uid="{5D514BC3-C68C-4744-BFB8-351661C80643}"/>
    <hyperlink ref="DR1:DU2" location="'Lot 5'!A1" display="Return to navigation menu" xr:uid="{1BA099BD-2573-4277-882A-97A62F028B2D}"/>
    <hyperlink ref="CP1:CS2" location="'Lot 5'!A1" display="Return to navigation menu" xr:uid="{73779E1B-1E8D-4F27-A970-C86C18885540}"/>
    <hyperlink ref="EM1:EP2" location="'Lot 5'!A1" display="Return to navigation menu" xr:uid="{039061FC-08A8-4F11-AA1F-20FC343447DB}"/>
    <hyperlink ref="A12:F12" location="'Lot 5'!EM1" display="Financial analysis" xr:uid="{26FC497B-F9E1-46BB-81DA-B8126E4126F9}"/>
    <hyperlink ref="A10:F10" location="'Lot 5'!DP1" display="Individual animal treatments" xr:uid="{D8D868B0-DE3F-4CB5-B5AA-585A4026C4D4}"/>
    <hyperlink ref="A5:F5" location="'Lot 5'!AH1" display="Lot summary" xr:uid="{274131D6-12F8-4898-A1D1-324AF8323084}"/>
    <hyperlink ref="A6:F6" location="'Lot 5'!BI1" display="Animal information" xr:uid="{822846DF-A2F2-4496-9455-EDE081685AFB}"/>
    <hyperlink ref="A9:F9" location="'Lot 5'!DD1" display="Veterinary" xr:uid="{397E2701-2BB2-4C65-8D1C-CDDB0CF6EE4D}"/>
    <hyperlink ref="DC1:DF2" location="'Lot 5'!A1" display="Return to navigation menu" xr:uid="{C7EE5B74-00EA-4756-B324-C9EB3705FD38}"/>
    <hyperlink ref="A2:F2" location="'Lot 5'!L1" display="Inputs" xr:uid="{C6FF93FB-8AC3-44BC-97B2-2F12749AA9EF}"/>
    <hyperlink ref="A7:F7" location="'Lot 5'!BY1" display="Feed ration builder" xr:uid="{C5CAE11D-97B9-42AC-8747-B6DE4102B439}"/>
    <hyperlink ref="A8:F8" location="'Lot 5'!CR1" display="Feed summary" xr:uid="{9D53B1B1-EAF0-43A1-9FB2-EE2C5C656DFF}"/>
    <hyperlink ref="CI1:CI2" location="'Lot 5'!A1" display="Return to navigation menu" xr:uid="{8505F587-1FE0-4D82-A850-18FDFC2A998C}"/>
    <hyperlink ref="L1:L2" location="'Lot 5'!A1" display="Return to navigation menu" xr:uid="{DD3DBB0A-CE1D-474D-AA45-A9EC2E21850D}"/>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7116E16-1844-4B6B-83C3-4209FB61E81D}">
          <x14:formula1>
            <xm:f>Feed!$B$4:$B$19</xm:f>
          </x14:formula1>
          <xm:sqref>CA6:CA11 CA28:CA33 CA39:CA44 CA50:CA55 CA17:CA22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4209E-30C3-42AC-84C2-BA7AE5297577}">
  <dimension ref="A1:J33"/>
  <sheetViews>
    <sheetView showGridLines="0" workbookViewId="0">
      <selection activeCell="N10" sqref="N10"/>
    </sheetView>
  </sheetViews>
  <sheetFormatPr defaultRowHeight="15" x14ac:dyDescent="0.25"/>
  <cols>
    <col min="1" max="1" width="3" bestFit="1" customWidth="1"/>
    <col min="2" max="2" width="11.28515625" customWidth="1"/>
    <col min="3" max="3" width="17.28515625" customWidth="1"/>
    <col min="4" max="4" width="10.85546875" customWidth="1"/>
    <col min="7" max="7" width="24" customWidth="1"/>
    <col min="10" max="10" width="24.42578125" customWidth="1"/>
  </cols>
  <sheetData>
    <row r="1" spans="1:10" ht="15.75" thickBot="1" x14ac:dyDescent="0.3">
      <c r="B1" s="634"/>
      <c r="C1" s="634"/>
    </row>
    <row r="2" spans="1:10" x14ac:dyDescent="0.25">
      <c r="B2" s="635" t="s">
        <v>354</v>
      </c>
      <c r="C2" s="635"/>
      <c r="E2" s="636" t="s">
        <v>355</v>
      </c>
      <c r="F2" s="637"/>
      <c r="G2" s="638"/>
      <c r="H2" s="636" t="s">
        <v>356</v>
      </c>
      <c r="I2" s="637"/>
      <c r="J2" s="638"/>
    </row>
    <row r="3" spans="1:10" s="104" customFormat="1" ht="30.75" thickBot="1" x14ac:dyDescent="0.3">
      <c r="B3" s="105" t="s">
        <v>357</v>
      </c>
      <c r="C3" s="105" t="s">
        <v>358</v>
      </c>
      <c r="D3" s="105" t="s">
        <v>359</v>
      </c>
      <c r="E3" s="106" t="s">
        <v>360</v>
      </c>
      <c r="F3" s="105" t="s">
        <v>361</v>
      </c>
      <c r="G3" s="107" t="s">
        <v>362</v>
      </c>
      <c r="H3" s="106" t="s">
        <v>360</v>
      </c>
      <c r="I3" s="105" t="s">
        <v>361</v>
      </c>
      <c r="J3" s="107" t="s">
        <v>362</v>
      </c>
    </row>
    <row r="4" spans="1:10" x14ac:dyDescent="0.25">
      <c r="A4">
        <v>1</v>
      </c>
      <c r="B4" s="108"/>
      <c r="C4" s="108"/>
      <c r="D4" s="109"/>
      <c r="E4" s="110"/>
      <c r="F4" s="111"/>
      <c r="G4" s="112"/>
      <c r="H4" s="110"/>
      <c r="I4" s="111"/>
      <c r="J4" s="112"/>
    </row>
    <row r="5" spans="1:10" x14ac:dyDescent="0.25">
      <c r="A5">
        <v>2</v>
      </c>
      <c r="B5" s="113"/>
      <c r="C5" s="113"/>
      <c r="D5" s="114"/>
      <c r="E5" s="115"/>
      <c r="F5" s="113"/>
      <c r="G5" s="116"/>
      <c r="H5" s="115"/>
      <c r="I5" s="113"/>
      <c r="J5" s="116"/>
    </row>
    <row r="6" spans="1:10" x14ac:dyDescent="0.25">
      <c r="A6">
        <v>3</v>
      </c>
      <c r="B6" s="113"/>
      <c r="C6" s="113"/>
      <c r="D6" s="114"/>
      <c r="E6" s="115"/>
      <c r="F6" s="113"/>
      <c r="G6" s="116"/>
      <c r="H6" s="115"/>
      <c r="I6" s="113"/>
      <c r="J6" s="116"/>
    </row>
    <row r="7" spans="1:10" x14ac:dyDescent="0.25">
      <c r="A7">
        <v>4</v>
      </c>
      <c r="B7" s="113"/>
      <c r="C7" s="113"/>
      <c r="D7" s="114"/>
      <c r="E7" s="115"/>
      <c r="F7" s="113"/>
      <c r="G7" s="116"/>
      <c r="H7" s="115"/>
      <c r="I7" s="113"/>
      <c r="J7" s="116"/>
    </row>
    <row r="8" spans="1:10" x14ac:dyDescent="0.25">
      <c r="A8">
        <v>5</v>
      </c>
      <c r="B8" s="113"/>
      <c r="C8" s="113"/>
      <c r="D8" s="114"/>
      <c r="E8" s="115"/>
      <c r="F8" s="113"/>
      <c r="G8" s="116"/>
      <c r="H8" s="115"/>
      <c r="I8" s="113"/>
      <c r="J8" s="116"/>
    </row>
    <row r="9" spans="1:10" x14ac:dyDescent="0.25">
      <c r="A9">
        <v>6</v>
      </c>
      <c r="B9" s="113"/>
      <c r="C9" s="113"/>
      <c r="D9" s="114"/>
      <c r="E9" s="115"/>
      <c r="F9" s="113"/>
      <c r="G9" s="116"/>
      <c r="H9" s="115"/>
      <c r="I9" s="113"/>
      <c r="J9" s="116"/>
    </row>
    <row r="10" spans="1:10" x14ac:dyDescent="0.25">
      <c r="A10">
        <v>7</v>
      </c>
      <c r="B10" s="113"/>
      <c r="C10" s="113"/>
      <c r="D10" s="114"/>
      <c r="E10" s="115"/>
      <c r="F10" s="113"/>
      <c r="G10" s="116"/>
      <c r="H10" s="115"/>
      <c r="I10" s="113"/>
      <c r="J10" s="116"/>
    </row>
    <row r="11" spans="1:10" x14ac:dyDescent="0.25">
      <c r="A11">
        <v>8</v>
      </c>
      <c r="B11" s="113"/>
      <c r="C11" s="113"/>
      <c r="D11" s="114"/>
      <c r="E11" s="115"/>
      <c r="F11" s="113"/>
      <c r="G11" s="116"/>
      <c r="H11" s="115"/>
      <c r="I11" s="113"/>
      <c r="J11" s="116"/>
    </row>
    <row r="12" spans="1:10" x14ac:dyDescent="0.25">
      <c r="A12">
        <v>9</v>
      </c>
      <c r="B12" s="113"/>
      <c r="C12" s="113"/>
      <c r="D12" s="114"/>
      <c r="E12" s="115"/>
      <c r="F12" s="113"/>
      <c r="G12" s="116"/>
      <c r="H12" s="115"/>
      <c r="I12" s="113"/>
      <c r="J12" s="116"/>
    </row>
    <row r="13" spans="1:10" x14ac:dyDescent="0.25">
      <c r="A13">
        <v>10</v>
      </c>
      <c r="B13" s="113"/>
      <c r="C13" s="113"/>
      <c r="D13" s="114"/>
      <c r="E13" s="115"/>
      <c r="F13" s="113"/>
      <c r="G13" s="116"/>
      <c r="H13" s="115"/>
      <c r="I13" s="113"/>
      <c r="J13" s="116"/>
    </row>
    <row r="14" spans="1:10" x14ac:dyDescent="0.25">
      <c r="A14">
        <v>11</v>
      </c>
      <c r="B14" s="113"/>
      <c r="C14" s="113"/>
      <c r="D14" s="114"/>
      <c r="E14" s="115"/>
      <c r="F14" s="113"/>
      <c r="G14" s="116"/>
      <c r="H14" s="115"/>
      <c r="I14" s="113"/>
      <c r="J14" s="116"/>
    </row>
    <row r="15" spans="1:10" x14ac:dyDescent="0.25">
      <c r="A15">
        <v>12</v>
      </c>
      <c r="B15" s="113"/>
      <c r="C15" s="113"/>
      <c r="D15" s="114"/>
      <c r="E15" s="115"/>
      <c r="F15" s="113"/>
      <c r="G15" s="116"/>
      <c r="H15" s="115"/>
      <c r="I15" s="113"/>
      <c r="J15" s="116"/>
    </row>
    <row r="16" spans="1:10" x14ac:dyDescent="0.25">
      <c r="A16">
        <v>13</v>
      </c>
      <c r="B16" s="113"/>
      <c r="C16" s="113"/>
      <c r="D16" s="114"/>
      <c r="E16" s="115"/>
      <c r="F16" s="113"/>
      <c r="G16" s="116"/>
      <c r="H16" s="115"/>
      <c r="I16" s="113"/>
      <c r="J16" s="116"/>
    </row>
    <row r="17" spans="1:10" x14ac:dyDescent="0.25">
      <c r="A17">
        <v>14</v>
      </c>
      <c r="B17" s="113"/>
      <c r="C17" s="113"/>
      <c r="D17" s="114"/>
      <c r="E17" s="115"/>
      <c r="F17" s="113"/>
      <c r="G17" s="116"/>
      <c r="H17" s="115"/>
      <c r="I17" s="113"/>
      <c r="J17" s="116"/>
    </row>
    <row r="18" spans="1:10" x14ac:dyDescent="0.25">
      <c r="A18">
        <v>15</v>
      </c>
      <c r="B18" s="113"/>
      <c r="C18" s="113"/>
      <c r="D18" s="114"/>
      <c r="E18" s="115"/>
      <c r="F18" s="113"/>
      <c r="G18" s="116"/>
      <c r="H18" s="115"/>
      <c r="I18" s="113"/>
      <c r="J18" s="116"/>
    </row>
    <row r="19" spans="1:10" x14ac:dyDescent="0.25">
      <c r="A19">
        <v>16</v>
      </c>
      <c r="B19" s="113"/>
      <c r="C19" s="113"/>
      <c r="D19" s="114"/>
      <c r="E19" s="115"/>
      <c r="F19" s="113"/>
      <c r="G19" s="116"/>
      <c r="H19" s="115"/>
      <c r="I19" s="113"/>
      <c r="J19" s="116"/>
    </row>
    <row r="20" spans="1:10" x14ac:dyDescent="0.25">
      <c r="A20">
        <v>17</v>
      </c>
      <c r="B20" s="113"/>
      <c r="C20" s="113"/>
      <c r="D20" s="114"/>
      <c r="E20" s="115"/>
      <c r="F20" s="113"/>
      <c r="G20" s="116"/>
      <c r="H20" s="115"/>
      <c r="I20" s="113"/>
      <c r="J20" s="116"/>
    </row>
    <row r="21" spans="1:10" x14ac:dyDescent="0.25">
      <c r="A21">
        <v>18</v>
      </c>
      <c r="B21" s="113"/>
      <c r="C21" s="113"/>
      <c r="D21" s="114"/>
      <c r="E21" s="115"/>
      <c r="F21" s="113"/>
      <c r="G21" s="116"/>
      <c r="H21" s="115"/>
      <c r="I21" s="113"/>
      <c r="J21" s="116"/>
    </row>
    <row r="22" spans="1:10" x14ac:dyDescent="0.25">
      <c r="A22">
        <v>19</v>
      </c>
      <c r="B22" s="113"/>
      <c r="C22" s="113"/>
      <c r="D22" s="114"/>
      <c r="E22" s="115"/>
      <c r="F22" s="113"/>
      <c r="G22" s="116"/>
      <c r="H22" s="115"/>
      <c r="I22" s="113"/>
      <c r="J22" s="116"/>
    </row>
    <row r="23" spans="1:10" x14ac:dyDescent="0.25">
      <c r="A23">
        <v>20</v>
      </c>
      <c r="B23" s="113"/>
      <c r="C23" s="113"/>
      <c r="D23" s="114"/>
      <c r="E23" s="115"/>
      <c r="F23" s="113"/>
      <c r="G23" s="116"/>
      <c r="H23" s="115"/>
      <c r="I23" s="113"/>
      <c r="J23" s="116"/>
    </row>
    <row r="24" spans="1:10" x14ac:dyDescent="0.25">
      <c r="A24">
        <v>21</v>
      </c>
      <c r="B24" s="113"/>
      <c r="C24" s="113"/>
      <c r="D24" s="114"/>
      <c r="E24" s="115"/>
      <c r="F24" s="113"/>
      <c r="G24" s="116"/>
      <c r="H24" s="115"/>
      <c r="I24" s="113"/>
      <c r="J24" s="116"/>
    </row>
    <row r="25" spans="1:10" x14ac:dyDescent="0.25">
      <c r="A25">
        <v>22</v>
      </c>
      <c r="B25" s="113"/>
      <c r="C25" s="113"/>
      <c r="D25" s="114"/>
      <c r="E25" s="115"/>
      <c r="F25" s="113"/>
      <c r="G25" s="116"/>
      <c r="H25" s="115"/>
      <c r="I25" s="113"/>
      <c r="J25" s="116"/>
    </row>
    <row r="26" spans="1:10" x14ac:dyDescent="0.25">
      <c r="A26">
        <v>23</v>
      </c>
      <c r="B26" s="113"/>
      <c r="C26" s="113"/>
      <c r="D26" s="114"/>
      <c r="E26" s="115"/>
      <c r="F26" s="113"/>
      <c r="G26" s="116"/>
      <c r="H26" s="115"/>
      <c r="I26" s="113"/>
      <c r="J26" s="116"/>
    </row>
    <row r="27" spans="1:10" x14ac:dyDescent="0.25">
      <c r="A27">
        <v>24</v>
      </c>
      <c r="B27" s="113"/>
      <c r="C27" s="113"/>
      <c r="D27" s="114"/>
      <c r="E27" s="115"/>
      <c r="F27" s="113"/>
      <c r="G27" s="116"/>
      <c r="H27" s="115"/>
      <c r="I27" s="113"/>
      <c r="J27" s="116"/>
    </row>
    <row r="28" spans="1:10" x14ac:dyDescent="0.25">
      <c r="A28">
        <v>25</v>
      </c>
      <c r="B28" s="113"/>
      <c r="C28" s="113"/>
      <c r="D28" s="114"/>
      <c r="E28" s="115"/>
      <c r="F28" s="113"/>
      <c r="G28" s="116"/>
      <c r="H28" s="115"/>
      <c r="I28" s="113"/>
      <c r="J28" s="116"/>
    </row>
    <row r="29" spans="1:10" x14ac:dyDescent="0.25">
      <c r="A29">
        <v>26</v>
      </c>
      <c r="B29" s="117"/>
      <c r="C29" s="117"/>
      <c r="D29" s="118"/>
      <c r="E29" s="119"/>
      <c r="F29" s="117"/>
      <c r="G29" s="120"/>
      <c r="H29" s="119"/>
      <c r="I29" s="117"/>
      <c r="J29" s="120"/>
    </row>
    <row r="30" spans="1:10" x14ac:dyDescent="0.25">
      <c r="A30">
        <v>27</v>
      </c>
      <c r="B30" s="113"/>
      <c r="C30" s="113"/>
      <c r="D30" s="114"/>
      <c r="E30" s="115"/>
      <c r="F30" s="113"/>
      <c r="G30" s="116"/>
      <c r="H30" s="115"/>
      <c r="I30" s="113"/>
      <c r="J30" s="116"/>
    </row>
    <row r="31" spans="1:10" x14ac:dyDescent="0.25">
      <c r="A31">
        <v>28</v>
      </c>
      <c r="B31" s="113"/>
      <c r="C31" s="113"/>
      <c r="D31" s="114"/>
      <c r="E31" s="115"/>
      <c r="F31" s="113"/>
      <c r="G31" s="116"/>
      <c r="H31" s="115"/>
      <c r="I31" s="113"/>
      <c r="J31" s="116"/>
    </row>
    <row r="32" spans="1:10" x14ac:dyDescent="0.25">
      <c r="A32">
        <v>29</v>
      </c>
      <c r="B32" s="113"/>
      <c r="C32" s="113"/>
      <c r="D32" s="114"/>
      <c r="E32" s="115"/>
      <c r="F32" s="113"/>
      <c r="G32" s="116"/>
      <c r="H32" s="115"/>
      <c r="I32" s="113"/>
      <c r="J32" s="116"/>
    </row>
    <row r="33" spans="1:10" ht="15.75" thickBot="1" x14ac:dyDescent="0.3">
      <c r="A33">
        <v>30</v>
      </c>
      <c r="B33" s="113"/>
      <c r="C33" s="113"/>
      <c r="D33" s="114"/>
      <c r="E33" s="121"/>
      <c r="F33" s="122"/>
      <c r="G33" s="123"/>
      <c r="H33" s="121"/>
      <c r="I33" s="122"/>
      <c r="J33" s="123"/>
    </row>
  </sheetData>
  <mergeCells count="4">
    <mergeCell ref="B1:C1"/>
    <mergeCell ref="B2:C2"/>
    <mergeCell ref="E2:G2"/>
    <mergeCell ref="H2:J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43</vt:i4>
      </vt:variant>
    </vt:vector>
  </HeadingPairs>
  <TitlesOfParts>
    <vt:vector size="57" baseType="lpstr">
      <vt:lpstr>Introduction</vt:lpstr>
      <vt:lpstr>Feed</vt:lpstr>
      <vt:lpstr>Yardage Calculator</vt:lpstr>
      <vt:lpstr>Lot 1</vt:lpstr>
      <vt:lpstr>Lot 2</vt:lpstr>
      <vt:lpstr>Lot 3</vt:lpstr>
      <vt:lpstr>Lot 4</vt:lpstr>
      <vt:lpstr>Lot 5</vt:lpstr>
      <vt:lpstr>Printable record sheet</vt:lpstr>
      <vt:lpstr>Example "lot" sheet</vt:lpstr>
      <vt:lpstr>All lots summary</vt:lpstr>
      <vt:lpstr>AUM Evaluator</vt:lpstr>
      <vt:lpstr>Reference - Rations</vt:lpstr>
      <vt:lpstr>Reference - Manure Value</vt:lpstr>
      <vt:lpstr>FeedIngLst</vt:lpstr>
      <vt:lpstr>'Lot 1'!Ration1</vt:lpstr>
      <vt:lpstr>'Lot 2'!Ration1</vt:lpstr>
      <vt:lpstr>'Lot 3'!Ration1</vt:lpstr>
      <vt:lpstr>'Lot 4'!Ration1</vt:lpstr>
      <vt:lpstr>'Lot 5'!Ration1</vt:lpstr>
      <vt:lpstr>Ration1</vt:lpstr>
      <vt:lpstr>'Lot 1'!Ration2</vt:lpstr>
      <vt:lpstr>'Lot 2'!Ration2</vt:lpstr>
      <vt:lpstr>'Lot 3'!Ration2</vt:lpstr>
      <vt:lpstr>'Lot 4'!Ration2</vt:lpstr>
      <vt:lpstr>'Lot 5'!Ration2</vt:lpstr>
      <vt:lpstr>Ration2</vt:lpstr>
      <vt:lpstr>'Lot 1'!Ration3</vt:lpstr>
      <vt:lpstr>'Lot 2'!Ration3</vt:lpstr>
      <vt:lpstr>'Lot 3'!Ration3</vt:lpstr>
      <vt:lpstr>'Lot 4'!Ration3</vt:lpstr>
      <vt:lpstr>'Lot 5'!Ration3</vt:lpstr>
      <vt:lpstr>Ration3</vt:lpstr>
      <vt:lpstr>'Lot 1'!Ration4</vt:lpstr>
      <vt:lpstr>'Lot 2'!Ration4</vt:lpstr>
      <vt:lpstr>'Lot 3'!Ration4</vt:lpstr>
      <vt:lpstr>'Lot 4'!Ration4</vt:lpstr>
      <vt:lpstr>'Lot 5'!Ration4</vt:lpstr>
      <vt:lpstr>Ration4</vt:lpstr>
      <vt:lpstr>'Lot 1'!Ration5</vt:lpstr>
      <vt:lpstr>'Lot 2'!Ration5</vt:lpstr>
      <vt:lpstr>'Lot 3'!Ration5</vt:lpstr>
      <vt:lpstr>'Lot 4'!Ration5</vt:lpstr>
      <vt:lpstr>'Lot 5'!Ration5</vt:lpstr>
      <vt:lpstr>Ration5</vt:lpstr>
      <vt:lpstr>'Lot 1'!Rationlist</vt:lpstr>
      <vt:lpstr>'Lot 2'!Rationlist</vt:lpstr>
      <vt:lpstr>'Lot 3'!Rationlist</vt:lpstr>
      <vt:lpstr>'Lot 4'!Rationlist</vt:lpstr>
      <vt:lpstr>'Lot 5'!Rationlist</vt:lpstr>
      <vt:lpstr>Rationlist</vt:lpstr>
      <vt:lpstr>'Lot 1'!rationname</vt:lpstr>
      <vt:lpstr>'Lot 2'!rationname</vt:lpstr>
      <vt:lpstr>'Lot 3'!rationname</vt:lpstr>
      <vt:lpstr>'Lot 4'!rationname</vt:lpstr>
      <vt:lpstr>'Lot 5'!rationname</vt:lpstr>
      <vt:lpstr>rationname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Milhollin</dc:creator>
  <cp:lastModifiedBy>Kientzy, Andrew</cp:lastModifiedBy>
  <cp:lastPrinted>2008-08-12T18:37:31Z</cp:lastPrinted>
  <dcterms:created xsi:type="dcterms:W3CDTF">2008-08-12T17:49:29Z</dcterms:created>
  <dcterms:modified xsi:type="dcterms:W3CDTF">2025-05-29T19:36:35Z</dcterms:modified>
</cp:coreProperties>
</file>