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2026 BUDGETS/3-Final/g679-684-beef/"/>
    </mc:Choice>
  </mc:AlternateContent>
  <xr:revisionPtr revIDLastSave="26" documentId="8_{136790F7-53EC-4E52-A49B-D3AAB02C79A0}" xr6:coauthVersionLast="47" xr6:coauthVersionMax="47" xr10:uidLastSave="{08AE77E0-9DB5-44F1-9921-AE406BA24C04}"/>
  <bookViews>
    <workbookView xWindow="-60" yWindow="150" windowWidth="27270" windowHeight="15480" xr2:uid="{C65D0297-EE97-4820-BE30-161F35A9EB81}"/>
  </bookViews>
  <sheets>
    <sheet name="Introduction" sheetId="7" r:id="rId1"/>
    <sheet name="Inputs" sheetId="5" r:id="rId2"/>
    <sheet name="Pasture cost calculator (hide)" sheetId="15" state="hidden" r:id="rId3"/>
    <sheet name="Cost categorization (delete)" sheetId="16" state="hidden" r:id="rId4"/>
    <sheet name="Cow-calf (Fall)" sheetId="6" r:id="rId5"/>
    <sheet name="Cow-calf (Spring)" sheetId="9" r:id="rId6"/>
    <sheet name="Replacement heifer" sheetId="10" r:id="rId7"/>
    <sheet name="Drylot backgrounding" sheetId="12" r:id="rId8"/>
    <sheet name="Pasture backgrounding" sheetId="13" r:id="rId9"/>
    <sheet name="Fed cattle" sheetId="14" r:id="rId10"/>
  </sheets>
  <definedNames>
    <definedName name="_xlnm.Print_Area" localSheetId="4">'Cow-calf (Fall)'!$M$1:$U$33,'Cow-calf (Fall)'!$B$1:$J$54</definedName>
    <definedName name="_xlnm.Print_Area" localSheetId="5">'Cow-calf (Spring)'!$B$1:$J$54,'Cow-calf (Spring)'!$M$1:$U$33</definedName>
    <definedName name="_xlnm.Print_Area" localSheetId="7">'Drylot backgrounding'!$B$1:$K$52,'Drylot backgrounding'!$M$1:$V$29</definedName>
    <definedName name="_xlnm.Print_Area" localSheetId="9">'Fed cattle'!$B$1:$K$53,'Fed cattle'!$M$1:$V$29</definedName>
    <definedName name="_xlnm.Print_Area" localSheetId="1">Inputs!$A:$G</definedName>
    <definedName name="_xlnm.Print_Area" localSheetId="0">Introduction!$A$1:$E$25</definedName>
    <definedName name="_xlnm.Print_Area" localSheetId="8">'Pasture backgrounding'!$B$1:$K$52,'Pasture backgrounding'!$M$1:$V$30</definedName>
    <definedName name="_xlnm.Print_Area" localSheetId="2">'Pasture cost calculator (hide)'!$B$1:$D$16,'Pasture cost calculator (hide)'!$G$1:$T$9</definedName>
    <definedName name="_xlnm.Print_Area" localSheetId="6">'Replacement heifer'!$B$1:$J$51,'Replacement heifer'!$K$1:$S$31</definedName>
    <definedName name="solver_adj" localSheetId="1" hidden="1">Inputs!#REF!</definedName>
    <definedName name="solver_cvg" localSheetId="1" hidden="1">0.001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Inputs!#REF!</definedName>
    <definedName name="solver_lhs2" localSheetId="1" hidden="1">Inputs!#REF!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Inputs!#REF!</definedName>
    <definedName name="solver_pre" localSheetId="1" hidden="1">0.000001</definedName>
    <definedName name="solver_rel1" localSheetId="1" hidden="1">2</definedName>
    <definedName name="solver_rel2" localSheetId="1" hidden="1">2</definedName>
    <definedName name="solver_rhs1" localSheetId="1" hidden="1">Inputs!#REF!</definedName>
    <definedName name="solver_rhs2" localSheetId="1" hidden="1">Inputs!#REF!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3" l="1"/>
  <c r="S8" i="13" l="1"/>
  <c r="J16" i="13"/>
  <c r="S7" i="13"/>
  <c r="J41" i="13"/>
  <c r="J6" i="12"/>
  <c r="I6" i="12"/>
  <c r="O15" i="14"/>
  <c r="J5" i="14"/>
  <c r="I5" i="14"/>
  <c r="I39" i="10"/>
  <c r="Q6" i="6" l="1"/>
  <c r="R6" i="6"/>
  <c r="S6" i="6" s="1"/>
  <c r="J35" i="9" l="1"/>
  <c r="M38" i="6"/>
  <c r="C15" i="13"/>
  <c r="F15" i="13" s="1"/>
  <c r="C14" i="12"/>
  <c r="F14" i="12" s="1"/>
  <c r="P7" i="13"/>
  <c r="O7" i="13" s="1"/>
  <c r="P8" i="13"/>
  <c r="O8" i="13" s="1"/>
  <c r="P6" i="13"/>
  <c r="O6" i="13" s="1"/>
  <c r="P5" i="13"/>
  <c r="O5" i="13" s="1"/>
  <c r="P4" i="13"/>
  <c r="O4" i="13" s="1"/>
  <c r="R5" i="13" l="1"/>
  <c r="R4" i="13"/>
  <c r="R7" i="13"/>
  <c r="R8" i="13"/>
  <c r="H15" i="13"/>
  <c r="I15" i="13" s="1"/>
  <c r="J15" i="13" s="1"/>
  <c r="H14" i="12"/>
  <c r="R6" i="13"/>
  <c r="M6" i="10" l="1"/>
  <c r="M5" i="10"/>
  <c r="M4" i="10"/>
  <c r="M3" i="10"/>
  <c r="I21" i="10"/>
  <c r="T46" i="6" l="1"/>
  <c r="I31" i="6" s="1"/>
  <c r="T45" i="9"/>
  <c r="I31" i="9" s="1"/>
  <c r="R44" i="10"/>
  <c r="I29" i="10" s="1"/>
  <c r="T42" i="13"/>
  <c r="U41" i="13"/>
  <c r="I31" i="13" s="1"/>
  <c r="T42" i="12"/>
  <c r="I30" i="12" s="1"/>
  <c r="G7" i="9"/>
  <c r="G7" i="6"/>
  <c r="S32" i="14"/>
  <c r="S33" i="14"/>
  <c r="S31" i="14"/>
  <c r="I31" i="14" s="1"/>
  <c r="J31" i="14" s="1"/>
  <c r="R32" i="14"/>
  <c r="R33" i="14"/>
  <c r="R31" i="14"/>
  <c r="S26" i="14"/>
  <c r="I32" i="14" l="1"/>
  <c r="J32" i="14" s="1"/>
  <c r="H11" i="13"/>
  <c r="I11" i="13" s="1"/>
  <c r="H11" i="10"/>
  <c r="I11" i="10" s="1"/>
  <c r="H12" i="9"/>
  <c r="I12" i="9" s="1"/>
  <c r="Q3" i="13" l="1"/>
  <c r="S3" i="13"/>
  <c r="J11" i="13"/>
  <c r="H12" i="6" l="1"/>
  <c r="I12" i="6" s="1"/>
  <c r="D9" i="15"/>
  <c r="I22" i="6" l="1"/>
  <c r="I22" i="9"/>
  <c r="I32" i="6"/>
  <c r="D13" i="15"/>
  <c r="D12" i="15"/>
  <c r="D11" i="15"/>
  <c r="D3" i="15"/>
  <c r="D5" i="15" s="1"/>
  <c r="D2" i="15"/>
  <c r="C19" i="15"/>
  <c r="B15" i="15" l="1"/>
  <c r="D10" i="15" l="1"/>
  <c r="D14" i="15"/>
  <c r="C24" i="15" s="1"/>
  <c r="C25" i="15" s="1"/>
  <c r="D6" i="15"/>
  <c r="V6" i="15"/>
  <c r="U6" i="15"/>
  <c r="V3" i="15"/>
  <c r="U3" i="15"/>
  <c r="C23" i="15" l="1"/>
  <c r="D8" i="15"/>
  <c r="P7" i="15" s="1"/>
  <c r="D7" i="15"/>
  <c r="R7" i="15" l="1"/>
  <c r="M7" i="15"/>
  <c r="L4" i="15"/>
  <c r="Q4" i="15"/>
  <c r="P4" i="15"/>
  <c r="K4" i="15"/>
  <c r="J4" i="15"/>
  <c r="I4" i="15"/>
  <c r="J7" i="15"/>
  <c r="O7" i="15"/>
  <c r="T4" i="15"/>
  <c r="L7" i="15"/>
  <c r="S4" i="15"/>
  <c r="K7" i="15"/>
  <c r="N4" i="15"/>
  <c r="I7" i="15"/>
  <c r="R4" i="15"/>
  <c r="T7" i="15"/>
  <c r="O4" i="15"/>
  <c r="Q7" i="15"/>
  <c r="S7" i="15"/>
  <c r="M4" i="15"/>
  <c r="N7" i="15"/>
  <c r="Q8" i="15" l="1"/>
  <c r="K5" i="15"/>
  <c r="I8" i="15"/>
  <c r="J8" i="15"/>
  <c r="I5" i="15"/>
  <c r="J5" i="15"/>
  <c r="P5" i="15"/>
  <c r="M8" i="15"/>
  <c r="S5" i="15"/>
  <c r="K8" i="15"/>
  <c r="R8" i="15"/>
  <c r="N8" i="15"/>
  <c r="N5" i="15"/>
  <c r="L5" i="15"/>
  <c r="Q5" i="15"/>
  <c r="T5" i="15"/>
  <c r="L8" i="15"/>
  <c r="S8" i="15"/>
  <c r="R5" i="15"/>
  <c r="P8" i="15"/>
  <c r="T8" i="15"/>
  <c r="M5" i="15"/>
  <c r="O5" i="15"/>
  <c r="O8" i="15"/>
  <c r="Q9" i="15" l="1"/>
  <c r="I9" i="15"/>
  <c r="L9" i="15"/>
  <c r="N9" i="15"/>
  <c r="J9" i="15"/>
  <c r="K9" i="15"/>
  <c r="U8" i="15"/>
  <c r="R9" i="15"/>
  <c r="P9" i="15"/>
  <c r="S9" i="15"/>
  <c r="M9" i="15"/>
  <c r="T9" i="15"/>
  <c r="U5" i="15"/>
  <c r="O9" i="15"/>
  <c r="J10" i="15" l="1"/>
  <c r="R10" i="15"/>
  <c r="T10" i="15"/>
  <c r="I10" i="15"/>
  <c r="L10" i="15"/>
  <c r="Q10" i="15"/>
  <c r="M10" i="15"/>
  <c r="N10" i="15"/>
  <c r="K10" i="15"/>
  <c r="O10" i="15"/>
  <c r="P10" i="15"/>
  <c r="U9" i="15"/>
  <c r="S10" i="15"/>
  <c r="H47" i="9"/>
  <c r="D51" i="9"/>
  <c r="B62" i="6"/>
  <c r="D53" i="9" l="1"/>
  <c r="D49" i="9"/>
  <c r="D54" i="9"/>
  <c r="D52" i="9"/>
  <c r="D50" i="9"/>
  <c r="D48" i="9"/>
  <c r="I47" i="9"/>
  <c r="G47" i="9"/>
  <c r="F47" i="9"/>
  <c r="P3" i="10"/>
  <c r="G12" i="10" s="1"/>
  <c r="P4" i="10"/>
  <c r="G13" i="10" s="1"/>
  <c r="P5" i="10"/>
  <c r="Q5" i="10" s="1"/>
  <c r="I14" i="10" s="1"/>
  <c r="P6" i="10"/>
  <c r="Q6" i="10" s="1"/>
  <c r="I15" i="10" s="1"/>
  <c r="D50" i="14"/>
  <c r="D53" i="14" s="1"/>
  <c r="H46" i="14"/>
  <c r="G46" i="14" s="1"/>
  <c r="N29" i="14"/>
  <c r="S28" i="14"/>
  <c r="T28" i="14" s="1"/>
  <c r="P28" i="14"/>
  <c r="S27" i="14"/>
  <c r="T27" i="14" s="1"/>
  <c r="P27" i="14"/>
  <c r="G26" i="14"/>
  <c r="C26" i="14"/>
  <c r="P26" i="14"/>
  <c r="V19" i="14"/>
  <c r="V18" i="14"/>
  <c r="H17" i="14"/>
  <c r="I17" i="14" s="1"/>
  <c r="V17" i="14"/>
  <c r="C16" i="14"/>
  <c r="H16" i="14" s="1"/>
  <c r="V16" i="14"/>
  <c r="C15" i="14"/>
  <c r="H15" i="14" s="1"/>
  <c r="V15" i="14"/>
  <c r="P15" i="14"/>
  <c r="Q4" i="14" s="1"/>
  <c r="P4" i="14"/>
  <c r="C14" i="14"/>
  <c r="H14" i="14" s="1"/>
  <c r="V14" i="14"/>
  <c r="C13" i="14"/>
  <c r="H13" i="14" s="1"/>
  <c r="C12" i="14"/>
  <c r="F12" i="14" s="1"/>
  <c r="J11" i="14"/>
  <c r="I10" i="14"/>
  <c r="J4" i="14"/>
  <c r="J7" i="14" s="1"/>
  <c r="I3" i="14"/>
  <c r="I7" i="14" s="1"/>
  <c r="I19" i="14" s="1"/>
  <c r="C16" i="13"/>
  <c r="H16" i="13" s="1"/>
  <c r="C14" i="13"/>
  <c r="H14" i="13" s="1"/>
  <c r="C13" i="13"/>
  <c r="H13" i="13" s="1"/>
  <c r="C12" i="13"/>
  <c r="F12" i="13" s="1"/>
  <c r="C15" i="12"/>
  <c r="C13" i="12"/>
  <c r="C12" i="12"/>
  <c r="C11" i="12"/>
  <c r="O6" i="10"/>
  <c r="F15" i="10" s="1"/>
  <c r="O5" i="10"/>
  <c r="F14" i="10" s="1"/>
  <c r="O4" i="10"/>
  <c r="F13" i="10" s="1"/>
  <c r="O3" i="10"/>
  <c r="F12" i="10" s="1"/>
  <c r="Q6" i="9"/>
  <c r="F16" i="9" s="1"/>
  <c r="Q5" i="9"/>
  <c r="F15" i="9" s="1"/>
  <c r="Q4" i="9"/>
  <c r="F14" i="9" s="1"/>
  <c r="Q3" i="9"/>
  <c r="F13" i="9" s="1"/>
  <c r="F16" i="6"/>
  <c r="Q5" i="6"/>
  <c r="F15" i="6" s="1"/>
  <c r="Q4" i="6"/>
  <c r="F14" i="6" s="1"/>
  <c r="Q3" i="6"/>
  <c r="F13" i="6" s="1"/>
  <c r="C15" i="10"/>
  <c r="H15" i="10" s="1"/>
  <c r="C14" i="10"/>
  <c r="H14" i="10" s="1"/>
  <c r="C13" i="10"/>
  <c r="H13" i="10" s="1"/>
  <c r="C12" i="10"/>
  <c r="H12" i="10" s="1"/>
  <c r="C16" i="9"/>
  <c r="H16" i="9" s="1"/>
  <c r="C15" i="9"/>
  <c r="H15" i="9" s="1"/>
  <c r="C14" i="9"/>
  <c r="H14" i="9" s="1"/>
  <c r="C13" i="9"/>
  <c r="H13" i="9" s="1"/>
  <c r="C16" i="6"/>
  <c r="H16" i="6" s="1"/>
  <c r="C15" i="6"/>
  <c r="H15" i="6" s="1"/>
  <c r="C14" i="6"/>
  <c r="H14" i="6" s="1"/>
  <c r="C13" i="6"/>
  <c r="H13" i="6" s="1"/>
  <c r="R6" i="9"/>
  <c r="S6" i="9" s="1"/>
  <c r="I16" i="9" s="1"/>
  <c r="J16" i="9" s="1"/>
  <c r="R5" i="9"/>
  <c r="S5" i="9" s="1"/>
  <c r="I15" i="9" s="1"/>
  <c r="J15" i="9" s="1"/>
  <c r="R4" i="9"/>
  <c r="G14" i="9" s="1"/>
  <c r="R3" i="9"/>
  <c r="G13" i="9" s="1"/>
  <c r="G16" i="6"/>
  <c r="R5" i="6"/>
  <c r="G15" i="6" s="1"/>
  <c r="R4" i="6"/>
  <c r="S4" i="6" s="1"/>
  <c r="I14" i="6" s="1"/>
  <c r="J14" i="6" s="1"/>
  <c r="R3" i="6"/>
  <c r="S3" i="6" s="1"/>
  <c r="I13" i="6" s="1"/>
  <c r="P16" i="13"/>
  <c r="D50" i="13"/>
  <c r="D53" i="13" s="1"/>
  <c r="J31" i="13"/>
  <c r="N30" i="13"/>
  <c r="S29" i="13"/>
  <c r="T29" i="13" s="1"/>
  <c r="P29" i="13"/>
  <c r="S28" i="13"/>
  <c r="T28" i="13" s="1"/>
  <c r="P28" i="13"/>
  <c r="G26" i="13"/>
  <c r="C26" i="13"/>
  <c r="S27" i="13"/>
  <c r="P27" i="13"/>
  <c r="V20" i="13"/>
  <c r="V19" i="13"/>
  <c r="H17" i="13"/>
  <c r="I17" i="13" s="1"/>
  <c r="V18" i="13"/>
  <c r="V17" i="13"/>
  <c r="V16" i="13"/>
  <c r="V15" i="13"/>
  <c r="J10" i="13"/>
  <c r="I9" i="13"/>
  <c r="J4" i="13"/>
  <c r="J6" i="13" s="1"/>
  <c r="G25" i="12"/>
  <c r="H45" i="12"/>
  <c r="D49" i="12"/>
  <c r="P28" i="12"/>
  <c r="P27" i="12"/>
  <c r="P26" i="12"/>
  <c r="P15" i="12"/>
  <c r="O15" i="12"/>
  <c r="I9" i="12"/>
  <c r="J4" i="12"/>
  <c r="I3" i="12"/>
  <c r="Q8" i="13" l="1"/>
  <c r="P4" i="12"/>
  <c r="P3" i="12"/>
  <c r="P7" i="12"/>
  <c r="P6" i="12"/>
  <c r="I14" i="12" s="1"/>
  <c r="P5" i="12"/>
  <c r="Q3" i="12"/>
  <c r="Q6" i="12"/>
  <c r="J14" i="12" s="1"/>
  <c r="Q4" i="12"/>
  <c r="Q5" i="12"/>
  <c r="Q7" i="12"/>
  <c r="H13" i="12"/>
  <c r="H12" i="12"/>
  <c r="F15" i="12"/>
  <c r="H11" i="12"/>
  <c r="J13" i="6"/>
  <c r="J45" i="12"/>
  <c r="I29" i="12"/>
  <c r="J12" i="9"/>
  <c r="E47" i="9"/>
  <c r="S4" i="14"/>
  <c r="F13" i="12"/>
  <c r="F13" i="13"/>
  <c r="F16" i="14"/>
  <c r="R4" i="14"/>
  <c r="T4" i="14" s="1"/>
  <c r="F13" i="14"/>
  <c r="S29" i="14"/>
  <c r="P29" i="14"/>
  <c r="J22" i="14" s="1"/>
  <c r="V20" i="14"/>
  <c r="J21" i="14" s="1"/>
  <c r="P3" i="14"/>
  <c r="H12" i="14"/>
  <c r="D47" i="14"/>
  <c r="D52" i="14"/>
  <c r="D48" i="14"/>
  <c r="D49" i="14"/>
  <c r="D51" i="14"/>
  <c r="P5" i="14"/>
  <c r="I14" i="14" s="1"/>
  <c r="E46" i="14"/>
  <c r="P6" i="14"/>
  <c r="I15" i="14" s="1"/>
  <c r="F46" i="14"/>
  <c r="P7" i="14"/>
  <c r="I46" i="14"/>
  <c r="J46" i="14"/>
  <c r="Q3" i="14"/>
  <c r="Q7" i="14"/>
  <c r="Q5" i="14"/>
  <c r="Q6" i="14"/>
  <c r="I13" i="14"/>
  <c r="J30" i="14"/>
  <c r="J19" i="14"/>
  <c r="J13" i="14"/>
  <c r="J17" i="14"/>
  <c r="O4" i="14"/>
  <c r="F14" i="14"/>
  <c r="T26" i="14"/>
  <c r="T29" i="14" s="1"/>
  <c r="K46" i="14"/>
  <c r="F15" i="14"/>
  <c r="I30" i="14"/>
  <c r="F14" i="13"/>
  <c r="H12" i="13"/>
  <c r="F16" i="13"/>
  <c r="H15" i="12"/>
  <c r="F12" i="12"/>
  <c r="F11" i="12"/>
  <c r="I16" i="6"/>
  <c r="J16" i="6" s="1"/>
  <c r="G14" i="10"/>
  <c r="S5" i="6"/>
  <c r="I15" i="6" s="1"/>
  <c r="J15" i="6" s="1"/>
  <c r="Q3" i="10"/>
  <c r="I12" i="10" s="1"/>
  <c r="G15" i="9"/>
  <c r="G14" i="6"/>
  <c r="G16" i="9"/>
  <c r="Q4" i="10"/>
  <c r="I13" i="10" s="1"/>
  <c r="G15" i="10"/>
  <c r="S3" i="9"/>
  <c r="I13" i="9" s="1"/>
  <c r="J13" i="9" s="1"/>
  <c r="S4" i="9"/>
  <c r="I14" i="9" s="1"/>
  <c r="J14" i="9" s="1"/>
  <c r="G13" i="6"/>
  <c r="V21" i="13"/>
  <c r="I21" i="13" s="1"/>
  <c r="P30" i="13"/>
  <c r="I22" i="13" s="1"/>
  <c r="S30" i="13"/>
  <c r="D47" i="13"/>
  <c r="D49" i="13"/>
  <c r="D51" i="13"/>
  <c r="D48" i="13"/>
  <c r="D52" i="13"/>
  <c r="K45" i="12"/>
  <c r="G45" i="12"/>
  <c r="F45" i="12"/>
  <c r="E45" i="12"/>
  <c r="I45" i="12"/>
  <c r="T27" i="13"/>
  <c r="T30" i="13" s="1"/>
  <c r="U45" i="13" s="1"/>
  <c r="J30" i="13"/>
  <c r="J17" i="13"/>
  <c r="J19" i="13"/>
  <c r="I18" i="12"/>
  <c r="D51" i="12"/>
  <c r="J30" i="12"/>
  <c r="N29" i="12"/>
  <c r="S28" i="12"/>
  <c r="T28" i="12" s="1"/>
  <c r="S27" i="12"/>
  <c r="T27" i="12" s="1"/>
  <c r="S26" i="12"/>
  <c r="T26" i="12" s="1"/>
  <c r="C25" i="12"/>
  <c r="V19" i="12"/>
  <c r="V18" i="12"/>
  <c r="V17" i="12"/>
  <c r="H16" i="12"/>
  <c r="V16" i="12"/>
  <c r="V15" i="12"/>
  <c r="V14" i="12"/>
  <c r="J10" i="12"/>
  <c r="M13" i="10"/>
  <c r="D48" i="10"/>
  <c r="D51" i="10" s="1"/>
  <c r="H44" i="10"/>
  <c r="J44" i="10" s="1"/>
  <c r="J47" i="9"/>
  <c r="H47" i="6"/>
  <c r="E47" i="6" s="1"/>
  <c r="D51" i="6"/>
  <c r="R7" i="12" l="1"/>
  <c r="T7" i="12" s="1"/>
  <c r="R4" i="12"/>
  <c r="T4" i="12" s="1"/>
  <c r="R3" i="12"/>
  <c r="T3" i="12" s="1"/>
  <c r="R5" i="12"/>
  <c r="T5" i="12" s="1"/>
  <c r="I13" i="12"/>
  <c r="S3" i="12"/>
  <c r="O3" i="12"/>
  <c r="S6" i="12"/>
  <c r="O6" i="12"/>
  <c r="R6" i="12"/>
  <c r="T6" i="12" s="1"/>
  <c r="I15" i="12"/>
  <c r="J11" i="12"/>
  <c r="I11" i="12"/>
  <c r="J12" i="12"/>
  <c r="I12" i="12"/>
  <c r="O7" i="12"/>
  <c r="S7" i="12"/>
  <c r="O4" i="12"/>
  <c r="S4" i="12"/>
  <c r="J13" i="12"/>
  <c r="O5" i="12"/>
  <c r="S5" i="12"/>
  <c r="D52" i="6"/>
  <c r="O3" i="14"/>
  <c r="I12" i="14"/>
  <c r="J16" i="14"/>
  <c r="R7" i="14"/>
  <c r="T7" i="14" s="1"/>
  <c r="S7" i="14"/>
  <c r="J12" i="14"/>
  <c r="S3" i="14"/>
  <c r="R3" i="14"/>
  <c r="T3" i="14" s="1"/>
  <c r="J15" i="14"/>
  <c r="R6" i="14"/>
  <c r="T6" i="14" s="1"/>
  <c r="S6" i="14"/>
  <c r="J14" i="14"/>
  <c r="R5" i="14"/>
  <c r="T5" i="14" s="1"/>
  <c r="S5" i="14"/>
  <c r="J33" i="14"/>
  <c r="I22" i="14"/>
  <c r="I33" i="14"/>
  <c r="I21" i="14"/>
  <c r="I16" i="14"/>
  <c r="O5" i="14"/>
  <c r="O6" i="14"/>
  <c r="O7" i="14"/>
  <c r="J15" i="12"/>
  <c r="G47" i="6"/>
  <c r="J47" i="6"/>
  <c r="I47" i="6"/>
  <c r="F47" i="6"/>
  <c r="J21" i="13"/>
  <c r="J22" i="13"/>
  <c r="I33" i="13"/>
  <c r="J33" i="13"/>
  <c r="J32" i="13"/>
  <c r="I32" i="13"/>
  <c r="J16" i="12"/>
  <c r="I16" i="12"/>
  <c r="D52" i="12"/>
  <c r="T29" i="12"/>
  <c r="T46" i="12" s="1"/>
  <c r="P29" i="12"/>
  <c r="I32" i="12" s="1"/>
  <c r="V20" i="12"/>
  <c r="J29" i="12"/>
  <c r="D47" i="12"/>
  <c r="S29" i="12"/>
  <c r="D46" i="12"/>
  <c r="D48" i="12"/>
  <c r="D50" i="12"/>
  <c r="D46" i="10"/>
  <c r="E44" i="10"/>
  <c r="F44" i="10"/>
  <c r="G44" i="10"/>
  <c r="D47" i="10"/>
  <c r="D49" i="10"/>
  <c r="I44" i="10"/>
  <c r="D50" i="10"/>
  <c r="D45" i="10"/>
  <c r="D48" i="6"/>
  <c r="D54" i="6"/>
  <c r="D50" i="6"/>
  <c r="D53" i="6"/>
  <c r="D49" i="6"/>
  <c r="J26" i="14" l="1"/>
  <c r="J27" i="14" s="1"/>
  <c r="J39" i="14" s="1"/>
  <c r="I26" i="14"/>
  <c r="I27" i="14" s="1"/>
  <c r="I39" i="14" s="1"/>
  <c r="I25" i="12"/>
  <c r="R9" i="12"/>
  <c r="J34" i="14"/>
  <c r="I34" i="14"/>
  <c r="R8" i="14"/>
  <c r="R9" i="14" s="1"/>
  <c r="T8" i="14"/>
  <c r="J34" i="13"/>
  <c r="I20" i="12"/>
  <c r="J20" i="12"/>
  <c r="J31" i="12"/>
  <c r="I31" i="12"/>
  <c r="I33" i="12" s="1"/>
  <c r="J21" i="12"/>
  <c r="I21" i="12"/>
  <c r="J18" i="12"/>
  <c r="J25" i="12" s="1"/>
  <c r="J32" i="12"/>
  <c r="R8" i="12"/>
  <c r="I26" i="12" l="1"/>
  <c r="I38" i="12" s="1"/>
  <c r="J26" i="12"/>
  <c r="J38" i="12" s="1"/>
  <c r="I37" i="14"/>
  <c r="J37" i="14"/>
  <c r="J33" i="12"/>
  <c r="T8" i="12"/>
  <c r="I10" i="10"/>
  <c r="I5" i="10"/>
  <c r="I4" i="10"/>
  <c r="I3" i="10"/>
  <c r="L31" i="10"/>
  <c r="Q30" i="10"/>
  <c r="R30" i="10" s="1"/>
  <c r="N30" i="10"/>
  <c r="Q29" i="10"/>
  <c r="R29" i="10" s="1"/>
  <c r="N29" i="10"/>
  <c r="Q28" i="10"/>
  <c r="R28" i="10" s="1"/>
  <c r="N28" i="10"/>
  <c r="C24" i="10"/>
  <c r="S18" i="10"/>
  <c r="S17" i="10"/>
  <c r="S16" i="10"/>
  <c r="H16" i="10"/>
  <c r="S15" i="10"/>
  <c r="S14" i="10"/>
  <c r="S13" i="10"/>
  <c r="R3" i="10"/>
  <c r="I7" i="6"/>
  <c r="I7" i="9"/>
  <c r="J31" i="9"/>
  <c r="M39" i="9"/>
  <c r="I34" i="9" s="1"/>
  <c r="N33" i="9"/>
  <c r="I32" i="9"/>
  <c r="S32" i="9"/>
  <c r="T32" i="9" s="1"/>
  <c r="P32" i="9"/>
  <c r="S31" i="9"/>
  <c r="T31" i="9" s="1"/>
  <c r="P31" i="9"/>
  <c r="S30" i="9"/>
  <c r="T30" i="9" s="1"/>
  <c r="P30" i="9"/>
  <c r="C26" i="9"/>
  <c r="J25" i="9"/>
  <c r="J24" i="9"/>
  <c r="I23" i="9"/>
  <c r="J23" i="9" s="1"/>
  <c r="J22" i="9"/>
  <c r="G22" i="9"/>
  <c r="U18" i="9"/>
  <c r="U17" i="9"/>
  <c r="U16" i="9"/>
  <c r="H17" i="9"/>
  <c r="J17" i="9" s="1"/>
  <c r="U15" i="9"/>
  <c r="U14" i="9"/>
  <c r="U13" i="9"/>
  <c r="U6" i="9"/>
  <c r="O6" i="9"/>
  <c r="O5" i="9"/>
  <c r="J6" i="9"/>
  <c r="I6" i="9"/>
  <c r="T4" i="9"/>
  <c r="O4" i="9"/>
  <c r="J5" i="9"/>
  <c r="I5" i="9"/>
  <c r="O3" i="9"/>
  <c r="J32" i="6"/>
  <c r="J31" i="6"/>
  <c r="J24" i="6"/>
  <c r="J25" i="6"/>
  <c r="I23" i="6"/>
  <c r="J22" i="6"/>
  <c r="G22" i="6"/>
  <c r="P32" i="6"/>
  <c r="P31" i="6"/>
  <c r="P30" i="6"/>
  <c r="U18" i="6"/>
  <c r="U17" i="6"/>
  <c r="U16" i="6"/>
  <c r="U15" i="6"/>
  <c r="U14" i="6"/>
  <c r="U13" i="6"/>
  <c r="S32" i="6"/>
  <c r="S31" i="6"/>
  <c r="T31" i="6" s="1"/>
  <c r="S30" i="6"/>
  <c r="T30" i="6" s="1"/>
  <c r="N33" i="6"/>
  <c r="H17" i="6"/>
  <c r="J17" i="6" s="1"/>
  <c r="O6" i="6"/>
  <c r="O5" i="6"/>
  <c r="O4" i="6"/>
  <c r="O3" i="6"/>
  <c r="J6" i="6"/>
  <c r="J5" i="6"/>
  <c r="I6" i="6"/>
  <c r="I5" i="6"/>
  <c r="T4" i="6"/>
  <c r="T3" i="6"/>
  <c r="T6" i="6"/>
  <c r="T5" i="6"/>
  <c r="J40" i="14" l="1"/>
  <c r="J36" i="14"/>
  <c r="I40" i="14"/>
  <c r="I36" i="14"/>
  <c r="J7" i="6"/>
  <c r="J7" i="9"/>
  <c r="J9" i="9" s="1"/>
  <c r="I36" i="12"/>
  <c r="I35" i="12" s="1"/>
  <c r="J36" i="12"/>
  <c r="J35" i="12" s="1"/>
  <c r="N31" i="10"/>
  <c r="I31" i="10" s="1"/>
  <c r="R31" i="10"/>
  <c r="R48" i="10" s="1"/>
  <c r="I30" i="10" s="1"/>
  <c r="R5" i="10"/>
  <c r="S19" i="10"/>
  <c r="I19" i="10" s="1"/>
  <c r="Q31" i="10"/>
  <c r="I7" i="10"/>
  <c r="I18" i="10" s="1"/>
  <c r="S4" i="10"/>
  <c r="S6" i="10"/>
  <c r="R4" i="10"/>
  <c r="I16" i="10"/>
  <c r="R6" i="10"/>
  <c r="P33" i="9"/>
  <c r="I21" i="9" s="1"/>
  <c r="J21" i="9" s="1"/>
  <c r="T6" i="9"/>
  <c r="T3" i="9"/>
  <c r="I17" i="9"/>
  <c r="U19" i="9"/>
  <c r="I20" i="9" s="1"/>
  <c r="J20" i="9" s="1"/>
  <c r="T33" i="9"/>
  <c r="I9" i="9"/>
  <c r="U5" i="9"/>
  <c r="S33" i="9"/>
  <c r="T5" i="9"/>
  <c r="J32" i="9"/>
  <c r="I17" i="6"/>
  <c r="P33" i="6"/>
  <c r="I34" i="6" s="1"/>
  <c r="U19" i="6"/>
  <c r="I20" i="6" s="1"/>
  <c r="J20" i="6" s="1"/>
  <c r="S33" i="6"/>
  <c r="T32" i="6"/>
  <c r="T33" i="6" s="1"/>
  <c r="U6" i="6"/>
  <c r="G48" i="14" l="1"/>
  <c r="K47" i="14"/>
  <c r="H50" i="14"/>
  <c r="E47" i="14"/>
  <c r="K49" i="14"/>
  <c r="E50" i="14"/>
  <c r="E49" i="14"/>
  <c r="J53" i="14"/>
  <c r="F52" i="14"/>
  <c r="K51" i="14"/>
  <c r="H52" i="14"/>
  <c r="E52" i="14"/>
  <c r="I48" i="14"/>
  <c r="I49" i="14"/>
  <c r="F48" i="14"/>
  <c r="K48" i="14"/>
  <c r="F50" i="14"/>
  <c r="J52" i="14"/>
  <c r="G52" i="14"/>
  <c r="I53" i="14"/>
  <c r="F47" i="14"/>
  <c r="H48" i="14"/>
  <c r="E51" i="14"/>
  <c r="G53" i="14"/>
  <c r="E53" i="14"/>
  <c r="K52" i="14"/>
  <c r="F49" i="14"/>
  <c r="H53" i="14"/>
  <c r="G50" i="14"/>
  <c r="I51" i="14"/>
  <c r="G51" i="14"/>
  <c r="F51" i="14"/>
  <c r="H47" i="14"/>
  <c r="J51" i="14"/>
  <c r="J49" i="14"/>
  <c r="H49" i="14"/>
  <c r="G49" i="14"/>
  <c r="I52" i="14"/>
  <c r="K53" i="14"/>
  <c r="E48" i="14"/>
  <c r="J47" i="14"/>
  <c r="I47" i="14"/>
  <c r="G47" i="14"/>
  <c r="F53" i="14"/>
  <c r="K50" i="14"/>
  <c r="J50" i="14"/>
  <c r="I50" i="14"/>
  <c r="H51" i="14"/>
  <c r="J48" i="14"/>
  <c r="E47" i="12"/>
  <c r="K52" i="12"/>
  <c r="K51" i="12"/>
  <c r="E49" i="12"/>
  <c r="I47" i="12"/>
  <c r="E51" i="12"/>
  <c r="H50" i="12"/>
  <c r="F51" i="12"/>
  <c r="F50" i="12"/>
  <c r="G47" i="12"/>
  <c r="I51" i="12"/>
  <c r="I52" i="12"/>
  <c r="J47" i="12"/>
  <c r="F49" i="12"/>
  <c r="J51" i="12"/>
  <c r="G49" i="12"/>
  <c r="G48" i="12"/>
  <c r="J52" i="12"/>
  <c r="I46" i="12"/>
  <c r="H52" i="12"/>
  <c r="E48" i="12"/>
  <c r="H49" i="12"/>
  <c r="E50" i="12"/>
  <c r="I49" i="12"/>
  <c r="J48" i="12"/>
  <c r="J50" i="12"/>
  <c r="G46" i="12"/>
  <c r="E52" i="12"/>
  <c r="F48" i="12"/>
  <c r="K48" i="12"/>
  <c r="F52" i="12"/>
  <c r="G50" i="12"/>
  <c r="H46" i="12"/>
  <c r="G51" i="12"/>
  <c r="F47" i="12"/>
  <c r="K46" i="12"/>
  <c r="H48" i="12"/>
  <c r="H51" i="12"/>
  <c r="K47" i="12"/>
  <c r="E46" i="12"/>
  <c r="I48" i="12"/>
  <c r="K49" i="12"/>
  <c r="J46" i="12"/>
  <c r="K50" i="12"/>
  <c r="G52" i="12"/>
  <c r="F46" i="12"/>
  <c r="J49" i="12"/>
  <c r="H47" i="12"/>
  <c r="I50" i="12"/>
  <c r="I41" i="14"/>
  <c r="J38" i="14"/>
  <c r="J41" i="14"/>
  <c r="U44" i="9"/>
  <c r="I33" i="9" s="1"/>
  <c r="J33" i="9" s="1"/>
  <c r="I38" i="14"/>
  <c r="J39" i="12"/>
  <c r="I39" i="12"/>
  <c r="I19" i="9"/>
  <c r="I26" i="9" s="1"/>
  <c r="J30" i="9"/>
  <c r="E61" i="6"/>
  <c r="I33" i="6" s="1"/>
  <c r="J33" i="6" s="1"/>
  <c r="J34" i="9"/>
  <c r="S5" i="10"/>
  <c r="I20" i="10"/>
  <c r="I24" i="10" s="1"/>
  <c r="I28" i="10"/>
  <c r="S3" i="10"/>
  <c r="Q7" i="10"/>
  <c r="S7" i="9"/>
  <c r="U4" i="9"/>
  <c r="U3" i="9"/>
  <c r="J19" i="9"/>
  <c r="I30" i="9"/>
  <c r="I21" i="6"/>
  <c r="J34" i="6"/>
  <c r="J12" i="6"/>
  <c r="U5" i="6"/>
  <c r="U4" i="6"/>
  <c r="U3" i="6"/>
  <c r="S7" i="6"/>
  <c r="I40" i="12" l="1"/>
  <c r="J37" i="12"/>
  <c r="J40" i="12"/>
  <c r="I37" i="12"/>
  <c r="I32" i="10"/>
  <c r="I25" i="10"/>
  <c r="I37" i="10" s="1"/>
  <c r="J21" i="6"/>
  <c r="I35" i="9"/>
  <c r="J26" i="9"/>
  <c r="J27" i="9" s="1"/>
  <c r="J40" i="9" s="1"/>
  <c r="I27" i="9"/>
  <c r="S7" i="10"/>
  <c r="U7" i="9"/>
  <c r="U7" i="6"/>
  <c r="I40" i="9" l="1"/>
  <c r="H51" i="9"/>
  <c r="I53" i="9"/>
  <c r="F49" i="9"/>
  <c r="J50" i="9"/>
  <c r="G51" i="9"/>
  <c r="E49" i="9"/>
  <c r="J48" i="9"/>
  <c r="H53" i="9"/>
  <c r="H48" i="9"/>
  <c r="E51" i="9"/>
  <c r="I49" i="9"/>
  <c r="I50" i="9"/>
  <c r="H49" i="9"/>
  <c r="F50" i="9"/>
  <c r="J51" i="9"/>
  <c r="F51" i="9"/>
  <c r="I54" i="9"/>
  <c r="G53" i="9"/>
  <c r="G54" i="9"/>
  <c r="J49" i="9"/>
  <c r="G48" i="9"/>
  <c r="G49" i="9"/>
  <c r="I51" i="9"/>
  <c r="H50" i="9"/>
  <c r="H52" i="9"/>
  <c r="E50" i="9"/>
  <c r="E53" i="9"/>
  <c r="H54" i="9"/>
  <c r="F48" i="9"/>
  <c r="J54" i="9"/>
  <c r="I48" i="9"/>
  <c r="F54" i="9"/>
  <c r="E48" i="9"/>
  <c r="J53" i="9"/>
  <c r="G50" i="9"/>
  <c r="E52" i="9"/>
  <c r="J52" i="9"/>
  <c r="F53" i="9"/>
  <c r="E54" i="9"/>
  <c r="G52" i="9"/>
  <c r="I52" i="9"/>
  <c r="F52" i="9"/>
  <c r="I35" i="10"/>
  <c r="I38" i="9"/>
  <c r="I41" i="9" s="1"/>
  <c r="J38" i="9"/>
  <c r="J41" i="9" s="1"/>
  <c r="C26" i="6"/>
  <c r="J23" i="6"/>
  <c r="I34" i="10" l="1"/>
  <c r="I38" i="10"/>
  <c r="J37" i="9"/>
  <c r="J42" i="9" s="1"/>
  <c r="I37" i="9"/>
  <c r="J9" i="6"/>
  <c r="J19" i="6" s="1"/>
  <c r="I39" i="9" l="1"/>
  <c r="I42" i="9"/>
  <c r="J39" i="9"/>
  <c r="J48" i="10"/>
  <c r="G48" i="10"/>
  <c r="F46" i="10"/>
  <c r="F50" i="10"/>
  <c r="J47" i="10"/>
  <c r="J51" i="10"/>
  <c r="J49" i="10"/>
  <c r="I47" i="10"/>
  <c r="I45" i="10"/>
  <c r="I51" i="10"/>
  <c r="I49" i="10"/>
  <c r="H47" i="10"/>
  <c r="F49" i="10"/>
  <c r="E47" i="10"/>
  <c r="J50" i="10"/>
  <c r="H46" i="10"/>
  <c r="H50" i="10"/>
  <c r="G50" i="10"/>
  <c r="H45" i="10"/>
  <c r="G46" i="10"/>
  <c r="F48" i="10"/>
  <c r="E48" i="10"/>
  <c r="H51" i="10"/>
  <c r="H49" i="10"/>
  <c r="G47" i="10"/>
  <c r="G45" i="10"/>
  <c r="G51" i="10"/>
  <c r="G49" i="10"/>
  <c r="F47" i="10"/>
  <c r="F45" i="10"/>
  <c r="F51" i="10"/>
  <c r="E45" i="10"/>
  <c r="E51" i="10"/>
  <c r="E49" i="10"/>
  <c r="J46" i="10"/>
  <c r="H48" i="10"/>
  <c r="I46" i="10"/>
  <c r="I50" i="10"/>
  <c r="I48" i="10"/>
  <c r="I36" i="10"/>
  <c r="E46" i="10"/>
  <c r="E50" i="10"/>
  <c r="J45" i="10"/>
  <c r="J30" i="6"/>
  <c r="J35" i="6" s="1"/>
  <c r="J26" i="6"/>
  <c r="I9" i="6"/>
  <c r="I30" i="6" l="1"/>
  <c r="I35" i="6" s="1"/>
  <c r="I19" i="6"/>
  <c r="I26" i="6" s="1"/>
  <c r="I27" i="6" l="1"/>
  <c r="J27" i="6"/>
  <c r="G48" i="6" l="1"/>
  <c r="H49" i="6"/>
  <c r="E52" i="6"/>
  <c r="H51" i="6"/>
  <c r="E49" i="6"/>
  <c r="G50" i="6"/>
  <c r="G53" i="6"/>
  <c r="E51" i="6"/>
  <c r="F49" i="6"/>
  <c r="J54" i="6"/>
  <c r="I54" i="6"/>
  <c r="F51" i="6"/>
  <c r="G51" i="6"/>
  <c r="E50" i="6"/>
  <c r="F53" i="6"/>
  <c r="H50" i="6"/>
  <c r="J51" i="6"/>
  <c r="H54" i="6"/>
  <c r="F48" i="6"/>
  <c r="J53" i="6"/>
  <c r="E54" i="6"/>
  <c r="H48" i="6"/>
  <c r="G49" i="6"/>
  <c r="G52" i="6"/>
  <c r="F50" i="6"/>
  <c r="I52" i="6"/>
  <c r="J52" i="6"/>
  <c r="J48" i="6"/>
  <c r="J49" i="6"/>
  <c r="I48" i="6"/>
  <c r="I51" i="6"/>
  <c r="E53" i="6"/>
  <c r="J50" i="6"/>
  <c r="F52" i="6"/>
  <c r="H52" i="6"/>
  <c r="I50" i="6"/>
  <c r="G54" i="6"/>
  <c r="I53" i="6"/>
  <c r="I49" i="6"/>
  <c r="E48" i="6"/>
  <c r="F54" i="6"/>
  <c r="H53" i="6"/>
  <c r="I38" i="6"/>
  <c r="I37" i="6" s="1"/>
  <c r="I42" i="6" s="1"/>
  <c r="I40" i="6"/>
  <c r="J38" i="6"/>
  <c r="J37" i="6" s="1"/>
  <c r="J42" i="6" s="1"/>
  <c r="J40" i="6"/>
  <c r="I39" i="6" l="1"/>
  <c r="I41" i="6"/>
  <c r="J41" i="6"/>
  <c r="J39" i="6"/>
  <c r="H46" i="13"/>
  <c r="I3" i="13"/>
  <c r="I6" i="13" s="1"/>
  <c r="O16" i="13"/>
  <c r="K46" i="13" l="1"/>
  <c r="I30" i="13"/>
  <c r="I34" i="13" s="1"/>
  <c r="I19" i="13"/>
  <c r="F46" i="13"/>
  <c r="I46" i="13"/>
  <c r="G46" i="13"/>
  <c r="E46" i="13"/>
  <c r="J46" i="13"/>
  <c r="I13" i="13" l="1"/>
  <c r="I12" i="13"/>
  <c r="I16" i="13"/>
  <c r="Q7" i="13" l="1"/>
  <c r="S4" i="13"/>
  <c r="J12" i="13"/>
  <c r="Q4" i="13"/>
  <c r="J13" i="13"/>
  <c r="S5" i="13"/>
  <c r="Q5" i="13"/>
  <c r="I14" i="13" l="1"/>
  <c r="I26" i="13" l="1"/>
  <c r="R10" i="13"/>
  <c r="Q6" i="13"/>
  <c r="Q9" i="13" s="1"/>
  <c r="J14" i="13"/>
  <c r="J26" i="13" s="1"/>
  <c r="S6" i="13"/>
  <c r="S9" i="13" s="1"/>
  <c r="J27" i="13" l="1"/>
  <c r="I37" i="13"/>
  <c r="I36" i="13" s="1"/>
  <c r="I41" i="13" s="1"/>
  <c r="I39" i="13"/>
  <c r="J37" i="13" l="1"/>
  <c r="J36" i="13" s="1"/>
  <c r="J39" i="13"/>
  <c r="I40" i="13"/>
  <c r="E50" i="13" l="1"/>
  <c r="H52" i="13"/>
  <c r="F53" i="13"/>
  <c r="I52" i="13"/>
  <c r="H47" i="13"/>
  <c r="G47" i="13"/>
  <c r="H51" i="13"/>
  <c r="K49" i="13"/>
  <c r="G52" i="13"/>
  <c r="G51" i="13"/>
  <c r="E49" i="13"/>
  <c r="G50" i="13"/>
  <c r="F48" i="13"/>
  <c r="F49" i="13"/>
  <c r="K53" i="13"/>
  <c r="E47" i="13"/>
  <c r="F47" i="13"/>
  <c r="J52" i="13"/>
  <c r="E51" i="13"/>
  <c r="I50" i="13"/>
  <c r="H49" i="13"/>
  <c r="H50" i="13"/>
  <c r="E52" i="13"/>
  <c r="F52" i="13"/>
  <c r="K50" i="13"/>
  <c r="J47" i="13"/>
  <c r="J53" i="13"/>
  <c r="E53" i="13"/>
  <c r="J48" i="13"/>
  <c r="I51" i="13"/>
  <c r="G49" i="13"/>
  <c r="E48" i="13"/>
  <c r="I47" i="13"/>
  <c r="J51" i="13"/>
  <c r="K52" i="13"/>
  <c r="I53" i="13"/>
  <c r="K47" i="13"/>
  <c r="K51" i="13"/>
  <c r="J49" i="13"/>
  <c r="I48" i="13"/>
  <c r="I49" i="13"/>
  <c r="F50" i="13"/>
  <c r="G53" i="13"/>
  <c r="G48" i="13"/>
  <c r="J50" i="13"/>
  <c r="F51" i="13"/>
  <c r="H48" i="13"/>
  <c r="K48" i="13"/>
  <c r="H53" i="13"/>
  <c r="J40" i="13"/>
  <c r="J38" i="13"/>
  <c r="I3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tc={A96B8781-59C6-4152-B0DB-013CBBFD9078}</author>
  </authors>
  <commentList>
    <comment ref="I39" authorId="0" shapeId="0" xr:uid="{A96B8781-59C6-4152-B0DB-013CBBFD90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tc={26783EBA-9FD9-4B52-8265-A6EE8F8FD6E1}</author>
  </authors>
  <commentList>
    <comment ref="I39" authorId="0" shapeId="0" xr:uid="{26783EBA-9FD9-4B52-8265-A6EE8F8FD6E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tc={60DD7453-BE9F-4208-981B-6A88E595DF75}</author>
  </authors>
  <commentList>
    <comment ref="I36" authorId="0" shapeId="0" xr:uid="{60DD7453-BE9F-4208-981B-6A88E595DF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Kientzy, Andrew</author>
    <author>tc={59D3816F-0141-493E-B0BA-61FF3D2687E8}</author>
  </authors>
  <commentList>
    <comment ref="C9" authorId="0" shapeId="0" xr:uid="{80B6CC4F-9D43-4ACA-9FA5-EA74A385295F}">
      <text>
        <r>
          <rPr>
            <b/>
            <sz val="9"/>
            <color indexed="81"/>
            <rFont val="Tahoma"/>
            <family val="2"/>
          </rPr>
          <t>Kientzy, Andrew:</t>
        </r>
        <r>
          <rPr>
            <sz val="9"/>
            <color indexed="81"/>
            <rFont val="Tahoma"/>
            <family val="2"/>
          </rPr>
          <t xml:space="preserve">
Buying fall of 2025</t>
        </r>
      </text>
    </comment>
    <comment ref="I37" authorId="1" shapeId="0" xr:uid="{59D3816F-0141-493E-B0BA-61FF3D2687E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tc={32111C5B-AD67-4179-8412-F425B484CB1B}</author>
    <author>tc={B918D4B3-1025-426B-BFCA-4B54A5A5B7E2}</author>
  </authors>
  <commentList>
    <comment ref="N2" authorId="0" shapeId="0" xr:uid="{32111C5B-AD67-4179-8412-F425B484CB1B}">
      <text>
        <t>[Threaded comment]
Your version of Excel allows you to read this threaded comment; however, any edits to it will get removed if the file is opened in a newer version of Excel. Learn more: https://go.microsoft.com/fwlink/?linkid=870924
Comment:
    Switch to a pounds per head basis for supplemental feed, 7lb per head, gains of 1.6 for steers and 1.4 for heifers</t>
      </text>
    </comment>
    <comment ref="I38" authorId="1" shapeId="0" xr:uid="{B918D4B3-1025-426B-BFCA-4B54A5A5B7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tc={289C6720-2E61-453B-833B-9EF5C9682D3E}</author>
    <author>tc={0CFEFB95-8037-4B74-AE76-7A4E58962C99}</author>
  </authors>
  <commentList>
    <comment ref="C3" authorId="0" shapeId="0" xr:uid="{289C6720-2E61-453B-833B-9EF5C9682D3E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fall 2025, finished in April 2026</t>
      </text>
    </comment>
    <comment ref="I38" authorId="1" shapeId="0" xr:uid="{0CFEFB95-8037-4B74-AE76-7A4E58962C9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Income over cash-based costs excludes expenses not actively paid on many family operations including labor, business overhead, depreciation, and opportunity interest.</t>
      </text>
    </comment>
  </commentList>
</comments>
</file>

<file path=xl/sharedStrings.xml><?xml version="1.0" encoding="utf-8"?>
<sst xmlns="http://schemas.openxmlformats.org/spreadsheetml/2006/main" count="1015" uniqueCount="362">
  <si>
    <t>Veterinary, drugs, and supplies</t>
  </si>
  <si>
    <t>Total</t>
  </si>
  <si>
    <t>Professional fees (legal, accounting, etc.)</t>
  </si>
  <si>
    <t>Pasture</t>
  </si>
  <si>
    <t>Miscellaneous</t>
  </si>
  <si>
    <t>Other income</t>
  </si>
  <si>
    <t>Salvage value</t>
  </si>
  <si>
    <t>Buildings and facilities --- tax rate</t>
  </si>
  <si>
    <t>Buildings and facilities --- insurance rate</t>
  </si>
  <si>
    <t>Livestock --- insurance rate</t>
  </si>
  <si>
    <t xml:space="preserve"> 1. Steers:  </t>
  </si>
  <si>
    <t xml:space="preserve"> 2. Heifers:  </t>
  </si>
  <si>
    <t>Labor</t>
  </si>
  <si>
    <t>Livestock facility repairs</t>
  </si>
  <si>
    <t>Marketing</t>
  </si>
  <si>
    <t xml:space="preserve">      a. Capital replacement (</t>
  </si>
  <si>
    <t xml:space="preserve">20. Interest on 1/2 operating costs @ </t>
  </si>
  <si>
    <t xml:space="preserve"> 3. Cull cows:  </t>
  </si>
  <si>
    <t>Breeding costs</t>
  </si>
  <si>
    <t>Interest on breeding stock</t>
  </si>
  <si>
    <t>Interest on facilities and equipment</t>
  </si>
  <si>
    <t>Depreciation on facilities and equipment</t>
  </si>
  <si>
    <t>Mixed hay</t>
  </si>
  <si>
    <t>Machinery and utilities</t>
  </si>
  <si>
    <t>Operating costs</t>
  </si>
  <si>
    <t>Income</t>
  </si>
  <si>
    <t>Total income</t>
  </si>
  <si>
    <t>Ownership costs</t>
  </si>
  <si>
    <t>Total operating costs</t>
  </si>
  <si>
    <t>Total ownership costs</t>
  </si>
  <si>
    <t>Total costs</t>
  </si>
  <si>
    <t>Missouri Beef Budget Tool</t>
  </si>
  <si>
    <t>Developed by:</t>
  </si>
  <si>
    <t>University of Missouri Extension</t>
  </si>
  <si>
    <t>This worksheet is for educational purposes only and the user assumes all risks associated with its use.</t>
  </si>
  <si>
    <t>Utilities</t>
  </si>
  <si>
    <t>Salt and minerals</t>
  </si>
  <si>
    <t>Value</t>
  </si>
  <si>
    <t>Unit</t>
  </si>
  <si>
    <t xml:space="preserve">Fescue hay </t>
  </si>
  <si>
    <t>Corn silage</t>
  </si>
  <si>
    <t>Dried distillers grains</t>
  </si>
  <si>
    <t>Limestone</t>
  </si>
  <si>
    <t>Interest rate for operating costs and cattle</t>
  </si>
  <si>
    <t>Interest rate for long-term investments</t>
  </si>
  <si>
    <t>Updated: 10/2025</t>
  </si>
  <si>
    <t>Drew Kientzy, Wesley Tucker and Zachary Erwin</t>
  </si>
  <si>
    <t>Quantity</t>
  </si>
  <si>
    <t>Price/unit</t>
  </si>
  <si>
    <t>Total/cow</t>
  </si>
  <si>
    <t>Cwt</t>
  </si>
  <si>
    <t>Steer sales</t>
  </si>
  <si>
    <t>Heifer calf sales</t>
  </si>
  <si>
    <t>Cull cow sales</t>
  </si>
  <si>
    <t>Insurance and taxes on capital assets</t>
  </si>
  <si>
    <t>hours</t>
  </si>
  <si>
    <t>Farm business overhead</t>
  </si>
  <si>
    <t>% of revenue</t>
  </si>
  <si>
    <t>Feedstuff</t>
  </si>
  <si>
    <t>DM pounds per day</t>
  </si>
  <si>
    <t>Days fed</t>
  </si>
  <si>
    <r>
      <t>Feed assumptions per cow-calf unit</t>
    </r>
    <r>
      <rPr>
        <vertAlign val="superscript"/>
        <sz val="14"/>
        <color rgb="FFFFC000"/>
        <rFont val="Aptos Black"/>
        <family val="2"/>
      </rPr>
      <t>1</t>
    </r>
  </si>
  <si>
    <t>Additional herd information</t>
  </si>
  <si>
    <t>Herd size</t>
  </si>
  <si>
    <t>Bulls in herd</t>
  </si>
  <si>
    <t>Cow replacement</t>
  </si>
  <si>
    <t>Cow value</t>
  </si>
  <si>
    <t>Bull value</t>
  </si>
  <si>
    <t>1. A cow-calf unit represents a single cow with calf at side prior to the calf being weaned, plus the portion of owned bulls allocated to servicing each cow.</t>
  </si>
  <si>
    <t>Cow weight</t>
  </si>
  <si>
    <t>pounds</t>
  </si>
  <si>
    <t>percent of herd</t>
  </si>
  <si>
    <t>cows</t>
  </si>
  <si>
    <t>bulls</t>
  </si>
  <si>
    <t>$ per head</t>
  </si>
  <si>
    <t>$ per service</t>
  </si>
  <si>
    <t>Percent of body weight</t>
  </si>
  <si>
    <t>Total feed costs</t>
  </si>
  <si>
    <t>Bull weight</t>
  </si>
  <si>
    <t>Replacement heifer value</t>
  </si>
  <si>
    <t xml:space="preserve"> Units fed</t>
  </si>
  <si>
    <t>% of sales</t>
  </si>
  <si>
    <t>Item</t>
  </si>
  <si>
    <t xml:space="preserve">Machinery </t>
  </si>
  <si>
    <t>$/hour</t>
  </si>
  <si>
    <t>Days used per year</t>
  </si>
  <si>
    <t>Annual cost</t>
  </si>
  <si>
    <t>1 ton 4x4 pickup</t>
  </si>
  <si>
    <t>Livestock trailer</t>
  </si>
  <si>
    <t>400cc ATV</t>
  </si>
  <si>
    <t>Rotary mower, 10 Ft</t>
  </si>
  <si>
    <t xml:space="preserve">Buildings and facilties </t>
  </si>
  <si>
    <t>Storage building</t>
  </si>
  <si>
    <t>Cattle working facilties</t>
  </si>
  <si>
    <t>Total investment</t>
  </si>
  <si>
    <t>Investment per cow</t>
  </si>
  <si>
    <t>Lifespan</t>
  </si>
  <si>
    <t>Totals</t>
  </si>
  <si>
    <t>Allocation to cattle</t>
  </si>
  <si>
    <t>$ per month</t>
  </si>
  <si>
    <t>% of cost</t>
  </si>
  <si>
    <t>% replaced</t>
  </si>
  <si>
    <t>Bull lifespan</t>
  </si>
  <si>
    <t>years</t>
  </si>
  <si>
    <t>A.I. services performed</t>
  </si>
  <si>
    <t xml:space="preserve">A.I. expenses </t>
  </si>
  <si>
    <t>cows serviced</t>
  </si>
  <si>
    <t>Dep</t>
  </si>
  <si>
    <t>Int</t>
  </si>
  <si>
    <t>herd value</t>
  </si>
  <si>
    <t>Cow death loss</t>
  </si>
  <si>
    <t>Bred heifer sales</t>
  </si>
  <si>
    <t>Cull heifer sales</t>
  </si>
  <si>
    <t>Open yearling heifer sales</t>
  </si>
  <si>
    <t>Head</t>
  </si>
  <si>
    <t>Heifers raised annually</t>
  </si>
  <si>
    <t>head</t>
  </si>
  <si>
    <t>Heifer death loss</t>
  </si>
  <si>
    <t>Open heifers</t>
  </si>
  <si>
    <t>percent of exposed</t>
  </si>
  <si>
    <t>percent of group</t>
  </si>
  <si>
    <t>Bred heifer weight</t>
  </si>
  <si>
    <t>pounds per head</t>
  </si>
  <si>
    <t>heifers serviced</t>
  </si>
  <si>
    <t>Purchased heifer calf</t>
  </si>
  <si>
    <t>Weaning rate, % of cows exposed</t>
  </si>
  <si>
    <t>Pregnancy rate, % of heifers</t>
  </si>
  <si>
    <t>Steers, per head</t>
  </si>
  <si>
    <t>Heifers, per head</t>
  </si>
  <si>
    <t>Feeder steers</t>
  </si>
  <si>
    <t>Feeder heifers</t>
  </si>
  <si>
    <t>Purchased steer calves</t>
  </si>
  <si>
    <t>Cattle hauling</t>
  </si>
  <si>
    <t>Feed assumptions</t>
  </si>
  <si>
    <t>Feed assumptions per heifer</t>
  </si>
  <si>
    <t>Death loss</t>
  </si>
  <si>
    <t>Steer quantity</t>
  </si>
  <si>
    <t>Heifer quantity</t>
  </si>
  <si>
    <t>Days on feed</t>
  </si>
  <si>
    <t>Average daily gain</t>
  </si>
  <si>
    <t>Feed conversion ratio</t>
  </si>
  <si>
    <t>Pounds feed: gain</t>
  </si>
  <si>
    <t>Pounds fed, heifers</t>
  </si>
  <si>
    <t>Pounds fed, steers</t>
  </si>
  <si>
    <t>Annual animals fed</t>
  </si>
  <si>
    <t>Feed bins</t>
  </si>
  <si>
    <t>Feed mixer</t>
  </si>
  <si>
    <t>Weight at sale, Cwt</t>
  </si>
  <si>
    <t>Allocation to backgrounding</t>
  </si>
  <si>
    <t>Allocation to cow herd</t>
  </si>
  <si>
    <t>Total feed cost</t>
  </si>
  <si>
    <t>Total feed quantity</t>
  </si>
  <si>
    <t>Feed cost per head</t>
  </si>
  <si>
    <t>Pounds per unit</t>
  </si>
  <si>
    <t>% Dry matter</t>
  </si>
  <si>
    <t>Feed</t>
  </si>
  <si>
    <t>Other inputs</t>
  </si>
  <si>
    <t>Feed totals</t>
  </si>
  <si>
    <t>% of ration, DM basis</t>
  </si>
  <si>
    <t>Fed steers</t>
  </si>
  <si>
    <t>Fed heifers</t>
  </si>
  <si>
    <t>Purchased feeder steers</t>
  </si>
  <si>
    <t>Purchased feeder heifers</t>
  </si>
  <si>
    <t>Allocation to cattle finishing</t>
  </si>
  <si>
    <t>Enter other feedstuff</t>
  </si>
  <si>
    <t>Inputs Used Across All Budgets</t>
  </si>
  <si>
    <t>Missouri Replacement Beef Heifers</t>
  </si>
  <si>
    <t>Missouri Beef Backgrounding, drylot</t>
  </si>
  <si>
    <t>Missouri Beef Backgrounding, pasture</t>
  </si>
  <si>
    <t xml:space="preserve"> Feed per head</t>
  </si>
  <si>
    <t>Investment per head</t>
  </si>
  <si>
    <t>Missouri Fed Cattle Budget, drylot</t>
  </si>
  <si>
    <t>Insurance and taxes</t>
  </si>
  <si>
    <t>Missouri Spring Calving Beef Cow-Calf Budget</t>
  </si>
  <si>
    <t>Missouri Fall-Calving Beef Cow-Calf Budget</t>
  </si>
  <si>
    <t>75 hp MFWD tractor</t>
  </si>
  <si>
    <t>Allocation to heifers</t>
  </si>
  <si>
    <t>Annual cost per head</t>
  </si>
  <si>
    <t>Weaning percentage</t>
  </si>
  <si>
    <t>Enter</t>
  </si>
  <si>
    <t>ton</t>
  </si>
  <si>
    <t>bushel</t>
  </si>
  <si>
    <t>cwt.</t>
  </si>
  <si>
    <t>percent</t>
  </si>
  <si>
    <t>Annual cost/cow</t>
  </si>
  <si>
    <t>Total herd cost</t>
  </si>
  <si>
    <t>Rotary mower, 10 ft.</t>
  </si>
  <si>
    <t>Category</t>
  </si>
  <si>
    <t>Units fed</t>
  </si>
  <si>
    <t>DM pounds 
per day</t>
  </si>
  <si>
    <t>Investment type</t>
  </si>
  <si>
    <t>Income over operating costs</t>
  </si>
  <si>
    <t>Income over total costs</t>
  </si>
  <si>
    <t>Annual
 cost</t>
  </si>
  <si>
    <t>Hours per day</t>
  </si>
  <si>
    <t>Days per year</t>
  </si>
  <si>
    <t>Total machinery costs</t>
  </si>
  <si>
    <t>Weaned calf price, 
$/cwt.</t>
  </si>
  <si>
    <t>Weaned calf price, $/cwt.</t>
  </si>
  <si>
    <t>Hours per day used</t>
  </si>
  <si>
    <t>Annual cost/ cow</t>
  </si>
  <si>
    <t>Annual cost/head</t>
  </si>
  <si>
    <t>Heifers culled</t>
  </si>
  <si>
    <t>Total/ heifer</t>
  </si>
  <si>
    <t>Bred heifer price, $/head</t>
  </si>
  <si>
    <t>Steers/hd</t>
  </si>
  <si>
    <t>Heifers/hd</t>
  </si>
  <si>
    <t>Feeder cattle, $/cwt.</t>
  </si>
  <si>
    <t>Daily hours used</t>
  </si>
  <si>
    <t>Total machinery cost</t>
  </si>
  <si>
    <t>Fed Cattle, $/Cwt.</t>
  </si>
  <si>
    <t>May</t>
  </si>
  <si>
    <t>Non-growth months</t>
  </si>
  <si>
    <t>Utilization rate</t>
  </si>
  <si>
    <t>Annual forage yield</t>
  </si>
  <si>
    <t>DM tons per acre</t>
  </si>
  <si>
    <t>Warm season</t>
  </si>
  <si>
    <t>Length</t>
  </si>
  <si>
    <t>Cool season</t>
  </si>
  <si>
    <t>1 to 2</t>
  </si>
  <si>
    <t>Grazing rotation frequency</t>
  </si>
  <si>
    <t>11 to 14</t>
  </si>
  <si>
    <t>days</t>
  </si>
  <si>
    <t>Pasture rental value</t>
  </si>
  <si>
    <t>$/acre</t>
  </si>
  <si>
    <t>Utilized forage</t>
  </si>
  <si>
    <t>Annual usable forage</t>
  </si>
  <si>
    <t>15 to 30</t>
  </si>
  <si>
    <t>AUM per acre</t>
  </si>
  <si>
    <t>Effective cost</t>
  </si>
  <si>
    <t>30 or more</t>
  </si>
  <si>
    <t>Fertilizer applied</t>
  </si>
  <si>
    <t>$ per acre</t>
  </si>
  <si>
    <t>Continuous</t>
  </si>
  <si>
    <t>Hay price</t>
  </si>
  <si>
    <t>$ per ton</t>
  </si>
  <si>
    <t>Cost per usable pound</t>
  </si>
  <si>
    <t>Hay price per pound</t>
  </si>
  <si>
    <t>Grazing information</t>
  </si>
  <si>
    <t>Cow-days per acre</t>
  </si>
  <si>
    <t>Nitrogen</t>
  </si>
  <si>
    <t>Phosphorus</t>
  </si>
  <si>
    <t>Potassium</t>
  </si>
  <si>
    <t>N applied per acre</t>
  </si>
  <si>
    <r>
      <t>P</t>
    </r>
    <r>
      <rPr>
        <vertAlign val="superscript"/>
        <sz val="10"/>
        <rFont val="Aptos"/>
        <family val="2"/>
      </rPr>
      <t>2</t>
    </r>
    <r>
      <rPr>
        <sz val="10"/>
        <rFont val="Aptos"/>
        <family val="2"/>
      </rPr>
      <t>O</t>
    </r>
    <r>
      <rPr>
        <vertAlign val="superscript"/>
        <sz val="10"/>
        <rFont val="Aptos"/>
        <family val="2"/>
      </rPr>
      <t>5</t>
    </r>
    <r>
      <rPr>
        <sz val="10"/>
        <rFont val="Aptos"/>
        <family val="2"/>
      </rPr>
      <t xml:space="preserve"> applied per acre</t>
    </r>
  </si>
  <si>
    <r>
      <t>K</t>
    </r>
    <r>
      <rPr>
        <vertAlign val="superscript"/>
        <sz val="10"/>
        <rFont val="Aptos"/>
        <family val="2"/>
      </rPr>
      <t>2</t>
    </r>
    <r>
      <rPr>
        <sz val="10"/>
        <rFont val="Aptos"/>
        <family val="2"/>
      </rPr>
      <t>O applied per acre</t>
    </r>
  </si>
  <si>
    <t>Nitrogen fertilizer</t>
  </si>
  <si>
    <t>Phosphorus fertilizer</t>
  </si>
  <si>
    <t>Potassium fertilizer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</si>
  <si>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</si>
  <si>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</si>
  <si>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</si>
  <si>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</si>
  <si>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</si>
  <si>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</si>
  <si>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</si>
  <si>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</si>
  <si>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</si>
  <si>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</si>
  <si>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</si>
  <si>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Value of available grazing</t>
  </si>
  <si>
    <t>Warm season forage accumulation</t>
  </si>
  <si>
    <t>Value of grazed forage</t>
  </si>
  <si>
    <t>% of annual forage production</t>
  </si>
  <si>
    <t>Income over cash-based costs</t>
  </si>
  <si>
    <t>Missouri</t>
  </si>
  <si>
    <t>K state</t>
  </si>
  <si>
    <t>Nebraska</t>
  </si>
  <si>
    <t>Kentucky</t>
  </si>
  <si>
    <t>Iowa state</t>
  </si>
  <si>
    <t>Vet</t>
  </si>
  <si>
    <t>Machinery</t>
  </si>
  <si>
    <t>Fuel</t>
  </si>
  <si>
    <t>Repair</t>
  </si>
  <si>
    <t>Breeding</t>
  </si>
  <si>
    <t>Grazed feed</t>
  </si>
  <si>
    <t>Stored feed</t>
  </si>
  <si>
    <t>Insurance</t>
  </si>
  <si>
    <t>Taxes</t>
  </si>
  <si>
    <t>Interest</t>
  </si>
  <si>
    <t>Cash</t>
  </si>
  <si>
    <t>Overhead</t>
  </si>
  <si>
    <t>Operating interest</t>
  </si>
  <si>
    <t>Buildings and facilities</t>
  </si>
  <si>
    <t>Sensitivity analysis, return over cash expenses per cow</t>
  </si>
  <si>
    <t>To modify the Beef Budgets, replace default values in grey colored cells (like this one) with numbers that are more appropriate for your specific operation. Non-filled cells are calculated values and cannot be changed without damaging the tool.</t>
  </si>
  <si>
    <t>For help using the budget tool, email Drew Kientzy at dkientzy@missouri.edu.</t>
  </si>
  <si>
    <t>Cow-days accumulated</t>
  </si>
  <si>
    <t>Cow-days</t>
  </si>
  <si>
    <t>$ per cow-day</t>
  </si>
  <si>
    <t>Adjustments to the cow days per acre are made in each budget where animal weight varies. Each budget assigns a cost of grazing per day to the animals present in that budget.</t>
  </si>
  <si>
    <t>Hay replacement cow-day value</t>
  </si>
  <si>
    <t>cow weight</t>
  </si>
  <si>
    <t>consumption</t>
  </si>
  <si>
    <t>Cool season forage accumulation</t>
  </si>
  <si>
    <t>LMIC?</t>
  </si>
  <si>
    <t>Rental rate</t>
  </si>
  <si>
    <t>$/acre/year</t>
  </si>
  <si>
    <t>Potassium applied</t>
  </si>
  <si>
    <t>Phosphorous applied</t>
  </si>
  <si>
    <t>Nitrogen applied</t>
  </si>
  <si>
    <t>pounds/acre</t>
  </si>
  <si>
    <t>moderate</t>
  </si>
  <si>
    <t>high</t>
  </si>
  <si>
    <t>low</t>
  </si>
  <si>
    <t>continuous</t>
  </si>
  <si>
    <t>7 to 10</t>
  </si>
  <si>
    <t>Exceptional</t>
  </si>
  <si>
    <t>Above average</t>
  </si>
  <si>
    <t>Average</t>
  </si>
  <si>
    <t>Below average</t>
  </si>
  <si>
    <t>Poor</t>
  </si>
  <si>
    <t>3 to 6</t>
  </si>
  <si>
    <t>Interest on breeding stock*</t>
  </si>
  <si>
    <t>Facility depreciation*</t>
  </si>
  <si>
    <t>Farm business overhead*</t>
  </si>
  <si>
    <t>Interest on facilities*</t>
  </si>
  <si>
    <t>Labor*</t>
  </si>
  <si>
    <t>Total cash-based costs</t>
  </si>
  <si>
    <t>Cash based costs exclude labor, depreciation, business overhead and opportunity interest.</t>
  </si>
  <si>
    <t>Heifer source</t>
  </si>
  <si>
    <t>raised</t>
  </si>
  <si>
    <t>purchase</t>
  </si>
  <si>
    <t>Senstitivity analysis, return over cash expenses per cow</t>
  </si>
  <si>
    <t>Senstitivity analysis, return over cash expenses per heifer</t>
  </si>
  <si>
    <t>Weed control</t>
  </si>
  <si>
    <t>Grazing system management</t>
  </si>
  <si>
    <t>acres</t>
  </si>
  <si>
    <t>Livestock insurance</t>
  </si>
  <si>
    <t>Livestock Insurance</t>
  </si>
  <si>
    <t>Depreciation (non-cow)</t>
  </si>
  <si>
    <t>Soybean meal</t>
  </si>
  <si>
    <t>dep</t>
  </si>
  <si>
    <t>Alfalfa hay (round bale Missouri alfalfa)</t>
  </si>
  <si>
    <t>Pelleted protein supplement (40%)</t>
  </si>
  <si>
    <t>Breakeven calf price, cash-based</t>
  </si>
  <si>
    <t>Breakeven price, cash-based</t>
  </si>
  <si>
    <t>Breakeven market price, cash costs</t>
  </si>
  <si>
    <t>$ per hour</t>
  </si>
  <si>
    <t>$ per pound N</t>
  </si>
  <si>
    <r>
      <t>$ per pound P</t>
    </r>
    <r>
      <rPr>
        <vertAlign val="superscript"/>
        <sz val="10"/>
        <rFont val="Aptos"/>
        <family val="2"/>
      </rPr>
      <t>2</t>
    </r>
    <r>
      <rPr>
        <sz val="10"/>
        <rFont val="Aptos"/>
        <family val="2"/>
      </rPr>
      <t>O</t>
    </r>
    <r>
      <rPr>
        <vertAlign val="superscript"/>
        <sz val="10"/>
        <rFont val="Aptos"/>
        <family val="2"/>
      </rPr>
      <t>5</t>
    </r>
    <r>
      <rPr>
        <sz val="10"/>
        <rFont val="Aptos"/>
        <family val="2"/>
      </rPr>
      <t xml:space="preserve"> </t>
    </r>
  </si>
  <si>
    <r>
      <t>$ per pound K</t>
    </r>
    <r>
      <rPr>
        <vertAlign val="superscript"/>
        <sz val="10"/>
        <rFont val="Aptos"/>
        <family val="2"/>
      </rPr>
      <t>2</t>
    </r>
    <r>
      <rPr>
        <sz val="10"/>
        <rFont val="Aptos"/>
        <family val="2"/>
      </rPr>
      <t>O</t>
    </r>
  </si>
  <si>
    <t>Cash based costs exclude labor, machinery and facility depreciation, business overhead and opportunity interest.</t>
  </si>
  <si>
    <t>pounds per day</t>
  </si>
  <si>
    <t>Farm-raised corn</t>
  </si>
  <si>
    <t>Senstitivity analysis, return over cash costs per fed animal</t>
  </si>
  <si>
    <t>Daily pounds fed per head</t>
  </si>
  <si>
    <t>Purchased premium heifer calf</t>
  </si>
  <si>
    <t xml:space="preserve">Farmers can develop custom enterprise budget by using the Missouri Beef Enterprise spreadsheet. This tool allows users to make an enterprise budget for a cow-calf (spring or fall calving), heifer, backgrounding (drylot or pasture) or fed cattle operation. All budgets are presented on a per-head basis. In the event that a budgeted enterprise overlaps calendar years, this tool assumes that all cattle sales take place in 2026. </t>
  </si>
  <si>
    <t>Senstitivity analysis, return over cash expenses per head</t>
  </si>
  <si>
    <t>Daily feed cost</t>
  </si>
  <si>
    <t>Pounds fed, per head</t>
  </si>
  <si>
    <t>Daily feed cost per head</t>
  </si>
  <si>
    <t>Purchased corn</t>
  </si>
  <si>
    <t>pound</t>
  </si>
  <si>
    <t>Breakeven price per bred heifer, cash based</t>
  </si>
  <si>
    <t>Less death loss</t>
  </si>
  <si>
    <t>For more information, refer to these MU Extension publications:</t>
  </si>
  <si>
    <t>G679, Missouri Beef Cow-Calf Planning Budget</t>
  </si>
  <si>
    <t>G681, Beef Backgrounding Planning Budget</t>
  </si>
  <si>
    <t>G682, Beef Replacement Heifer Planning Budget</t>
  </si>
  <si>
    <t>G683, Missouri Beef Finishing Planning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</si>
</sst>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;[Red]\-0.00"/>
    <numFmt numFmtId="166" formatCode="0.00%;[Red]\-0.00%"/>
    <numFmt numFmtId="167" formatCode="0.0%"/>
    <numFmt numFmtId="168" formatCode=";;;"/>
    <numFmt numFmtId="169" formatCode="&quot;$&quot;#,##0.00"/>
    <numFmt numFmtId="170" formatCode="0.00_)"/>
    <numFmt numFmtId="171" formatCode="_(* #,##0_);_(* \(#,##0\);_(* &quot;-&quot;??_);_(@_)"/>
    <numFmt numFmtId="172" formatCode="_(* #,##0.0_);_(* \(#,##0.0\);_(* &quot;-&quot;??_);_(@_)"/>
  </numFmts>
  <fonts count="54">
    <font>
      <sz val="12"/>
      <name val="Arial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 MT"/>
    </font>
    <font>
      <b/>
      <sz val="11"/>
      <color rgb="FF3F3F3F"/>
      <name val="Segoe UI"/>
      <family val="2"/>
      <scheme val="minor"/>
    </font>
    <font>
      <sz val="10"/>
      <name val="TimesNewRomanPS"/>
    </font>
    <font>
      <sz val="12"/>
      <name val="Segoe UI"/>
      <family val="2"/>
      <scheme val="minor"/>
    </font>
    <font>
      <sz val="12"/>
      <name val="Arial"/>
      <family val="2"/>
    </font>
    <font>
      <sz val="11"/>
      <color theme="1"/>
      <name val="Aptos"/>
      <family val="2"/>
    </font>
    <font>
      <b/>
      <sz val="14"/>
      <color rgb="FFF1B82D"/>
      <name val="Aptos"/>
      <family val="2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b/>
      <sz val="14"/>
      <color rgb="FFF1B82D"/>
      <name val="Aptos Black"/>
      <family val="2"/>
    </font>
    <font>
      <sz val="12"/>
      <name val="Aptos"/>
      <family val="2"/>
    </font>
    <font>
      <sz val="10"/>
      <name val="Aptos"/>
      <family val="2"/>
    </font>
    <font>
      <sz val="12"/>
      <color indexed="12"/>
      <name val="Aptos"/>
      <family val="2"/>
    </font>
    <font>
      <sz val="11"/>
      <name val="Aptos"/>
      <family val="2"/>
    </font>
    <font>
      <b/>
      <sz val="12"/>
      <name val="Aptos"/>
      <family val="2"/>
    </font>
    <font>
      <sz val="12"/>
      <color indexed="8"/>
      <name val="Aptos"/>
      <family val="2"/>
    </font>
    <font>
      <b/>
      <sz val="12"/>
      <color indexed="8"/>
      <name val="Aptos"/>
      <family val="2"/>
    </font>
    <font>
      <sz val="11"/>
      <color indexed="8"/>
      <name val="Aptos"/>
      <family val="2"/>
    </font>
    <font>
      <sz val="10"/>
      <color indexed="8"/>
      <name val="Aptos"/>
      <family val="2"/>
    </font>
    <font>
      <i/>
      <sz val="12"/>
      <color indexed="8"/>
      <name val="Aptos"/>
      <family val="2"/>
    </font>
    <font>
      <i/>
      <sz val="11"/>
      <color indexed="8"/>
      <name val="Aptos"/>
      <family val="2"/>
    </font>
    <font>
      <u/>
      <sz val="12"/>
      <color indexed="8"/>
      <name val="Aptos"/>
      <family val="2"/>
    </font>
    <font>
      <b/>
      <sz val="11"/>
      <name val="Aptos"/>
      <family val="2"/>
    </font>
    <font>
      <i/>
      <sz val="10"/>
      <color indexed="8"/>
      <name val="Aptos"/>
      <family val="2"/>
    </font>
    <font>
      <sz val="14"/>
      <color rgb="FFFFC000"/>
      <name val="Aptos Black"/>
      <family val="2"/>
    </font>
    <font>
      <vertAlign val="superscript"/>
      <sz val="14"/>
      <color rgb="FFFFC000"/>
      <name val="Aptos Black"/>
      <family val="2"/>
    </font>
    <font>
      <b/>
      <sz val="14"/>
      <color rgb="FFFFC000"/>
      <name val="Aptos Black"/>
      <family val="2"/>
    </font>
    <font>
      <i/>
      <sz val="12"/>
      <name val="Segoe UI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  <scheme val="minor"/>
    </font>
    <font>
      <sz val="11"/>
      <color theme="0"/>
      <name val="Aptos"/>
      <family val="2"/>
    </font>
    <font>
      <b/>
      <i/>
      <sz val="12"/>
      <name val="Aptos"/>
      <family val="2"/>
    </font>
    <font>
      <b/>
      <i/>
      <sz val="12"/>
      <color rgb="FFF1B82D"/>
      <name val="Aptos"/>
      <family val="2"/>
    </font>
    <font>
      <i/>
      <sz val="12"/>
      <name val="Aptos"/>
      <family val="2"/>
    </font>
    <font>
      <b/>
      <sz val="16"/>
      <color rgb="FFF1B82D"/>
      <name val="Aptos Black"/>
      <family val="2"/>
    </font>
    <font>
      <sz val="9"/>
      <name val="Aptos"/>
      <family val="2"/>
    </font>
    <font>
      <sz val="10.5"/>
      <name val="Aptos"/>
      <family val="2"/>
    </font>
    <font>
      <sz val="10"/>
      <color theme="1"/>
      <name val="Aptos"/>
      <family val="2"/>
    </font>
    <font>
      <vertAlign val="superscript"/>
      <sz val="10"/>
      <name val="Aptos"/>
      <family val="2"/>
    </font>
    <font>
      <sz val="12"/>
      <color theme="0"/>
      <name val="Aptos"/>
      <family val="2"/>
    </font>
    <font>
      <sz val="8"/>
      <name val="Arial"/>
      <family val="2"/>
    </font>
    <font>
      <sz val="12"/>
      <color rgb="FF000000"/>
      <name val="Aptos"/>
      <family val="2"/>
    </font>
    <font>
      <u/>
      <sz val="12"/>
      <color theme="10"/>
      <name val="Arial"/>
      <family val="2"/>
    </font>
    <font>
      <b/>
      <sz val="12"/>
      <color theme="1"/>
      <name val="Aptos"/>
      <family val="2"/>
    </font>
    <font>
      <b/>
      <sz val="12"/>
      <color rgb="FF3F3F3F"/>
      <name val="Aptos"/>
      <family val="2"/>
    </font>
    <font>
      <b/>
      <sz val="12"/>
      <color rgb="FFF1B82D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5" fillId="0" borderId="0"/>
    <xf numFmtId="0" fontId="6" fillId="2" borderId="3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306">
    <xf numFmtId="0" fontId="0" fillId="0" borderId="0" xfId="0"/>
    <xf numFmtId="0" fontId="13" fillId="0" borderId="0" xfId="5" applyFont="1" applyAlignment="1">
      <alignment wrapText="1"/>
    </xf>
    <xf numFmtId="0" fontId="15" fillId="0" borderId="0" xfId="0" applyFont="1"/>
    <xf numFmtId="0" fontId="15" fillId="0" borderId="7" xfId="0" applyFont="1" applyBorder="1"/>
    <xf numFmtId="0" fontId="16" fillId="0" borderId="0" xfId="0" applyFont="1"/>
    <xf numFmtId="4" fontId="15" fillId="0" borderId="0" xfId="0" applyNumberFormat="1" applyFont="1" applyProtection="1">
      <protection locked="0"/>
    </xf>
    <xf numFmtId="169" fontId="17" fillId="0" borderId="0" xfId="0" applyNumberFormat="1" applyFont="1" applyProtection="1">
      <protection locked="0"/>
    </xf>
    <xf numFmtId="10" fontId="15" fillId="4" borderId="11" xfId="0" applyNumberFormat="1" applyFont="1" applyFill="1" applyBorder="1" applyProtection="1">
      <protection locked="0"/>
    </xf>
    <xf numFmtId="0" fontId="15" fillId="0" borderId="14" xfId="0" applyFont="1" applyBorder="1"/>
    <xf numFmtId="0" fontId="16" fillId="0" borderId="2" xfId="0" applyFont="1" applyBorder="1"/>
    <xf numFmtId="0" fontId="14" fillId="3" borderId="6" xfId="5" applyFont="1" applyFill="1" applyBorder="1"/>
    <xf numFmtId="0" fontId="14" fillId="3" borderId="10" xfId="5" applyFont="1" applyFill="1" applyBorder="1" applyAlignment="1">
      <alignment horizontal="center"/>
    </xf>
    <xf numFmtId="169" fontId="15" fillId="4" borderId="11" xfId="0" applyNumberFormat="1" applyFont="1" applyFill="1" applyBorder="1" applyProtection="1">
      <protection locked="0"/>
    </xf>
    <xf numFmtId="0" fontId="18" fillId="0" borderId="0" xfId="0" applyFont="1"/>
    <xf numFmtId="0" fontId="20" fillId="0" borderId="1" xfId="0" applyFont="1" applyBorder="1"/>
    <xf numFmtId="9" fontId="18" fillId="0" borderId="0" xfId="2" applyFont="1"/>
    <xf numFmtId="0" fontId="22" fillId="0" borderId="0" xfId="0" applyFont="1"/>
    <xf numFmtId="0" fontId="20" fillId="0" borderId="8" xfId="0" applyFont="1" applyBorder="1"/>
    <xf numFmtId="0" fontId="21" fillId="0" borderId="8" xfId="0" applyFont="1" applyBorder="1"/>
    <xf numFmtId="0" fontId="21" fillId="0" borderId="8" xfId="0" applyFont="1" applyBorder="1" applyAlignment="1">
      <alignment horizontal="center"/>
    </xf>
    <xf numFmtId="0" fontId="20" fillId="0" borderId="0" xfId="0" applyFont="1"/>
    <xf numFmtId="168" fontId="22" fillId="0" borderId="0" xfId="0" applyNumberFormat="1" applyFont="1"/>
    <xf numFmtId="9" fontId="18" fillId="0" borderId="0" xfId="0" applyNumberFormat="1" applyFont="1"/>
    <xf numFmtId="0" fontId="25" fillId="0" borderId="0" xfId="0" applyFont="1"/>
    <xf numFmtId="166" fontId="20" fillId="0" borderId="0" xfId="0" applyNumberFormat="1" applyFont="1"/>
    <xf numFmtId="0" fontId="26" fillId="0" borderId="0" xfId="0" applyFont="1" applyAlignment="1">
      <alignment horizontal="right"/>
    </xf>
    <xf numFmtId="14" fontId="15" fillId="0" borderId="0" xfId="0" quotePrefix="1" applyNumberFormat="1" applyFont="1" applyAlignment="1">
      <alignment horizontal="right"/>
    </xf>
    <xf numFmtId="169" fontId="18" fillId="0" borderId="0" xfId="0" applyNumberFormat="1" applyFont="1"/>
    <xf numFmtId="169" fontId="20" fillId="4" borderId="1" xfId="0" applyNumberFormat="1" applyFont="1" applyFill="1" applyBorder="1"/>
    <xf numFmtId="169" fontId="20" fillId="0" borderId="1" xfId="0" applyNumberFormat="1" applyFont="1" applyBorder="1"/>
    <xf numFmtId="169" fontId="20" fillId="0" borderId="1" xfId="0" quotePrefix="1" applyNumberFormat="1" applyFont="1" applyBorder="1"/>
    <xf numFmtId="9" fontId="20" fillId="4" borderId="0" xfId="2" applyFont="1" applyFill="1" applyBorder="1"/>
    <xf numFmtId="0" fontId="18" fillId="0" borderId="1" xfId="0" applyFont="1" applyBorder="1"/>
    <xf numFmtId="0" fontId="29" fillId="3" borderId="16" xfId="0" applyFont="1" applyFill="1" applyBorder="1"/>
    <xf numFmtId="0" fontId="29" fillId="3" borderId="17" xfId="0" applyFont="1" applyFill="1" applyBorder="1"/>
    <xf numFmtId="0" fontId="29" fillId="3" borderId="18" xfId="0" applyFont="1" applyFill="1" applyBorder="1"/>
    <xf numFmtId="0" fontId="18" fillId="0" borderId="0" xfId="0" applyFont="1" applyAlignment="1">
      <alignment horizontal="left" vertical="top" wrapText="1"/>
    </xf>
    <xf numFmtId="0" fontId="18" fillId="4" borderId="0" xfId="0" applyFont="1" applyFill="1"/>
    <xf numFmtId="167" fontId="18" fillId="0" borderId="0" xfId="2" applyNumberFormat="1" applyFont="1" applyBorder="1"/>
    <xf numFmtId="43" fontId="18" fillId="0" borderId="0" xfId="9" applyFont="1" applyBorder="1"/>
    <xf numFmtId="43" fontId="18" fillId="0" borderId="0" xfId="0" applyNumberFormat="1" applyFont="1"/>
    <xf numFmtId="0" fontId="18" fillId="4" borderId="1" xfId="0" applyFont="1" applyFill="1" applyBorder="1"/>
    <xf numFmtId="43" fontId="18" fillId="0" borderId="1" xfId="0" applyNumberFormat="1" applyFont="1" applyBorder="1"/>
    <xf numFmtId="169" fontId="18" fillId="0" borderId="1" xfId="0" applyNumberFormat="1" applyFont="1" applyBorder="1"/>
    <xf numFmtId="169" fontId="18" fillId="4" borderId="0" xfId="0" applyNumberFormat="1" applyFont="1" applyFill="1"/>
    <xf numFmtId="9" fontId="18" fillId="4" borderId="0" xfId="2" applyFont="1" applyFill="1" applyBorder="1"/>
    <xf numFmtId="9" fontId="18" fillId="4" borderId="1" xfId="2" applyFont="1" applyFill="1" applyBorder="1"/>
    <xf numFmtId="169" fontId="18" fillId="0" borderId="1" xfId="1" applyNumberFormat="1" applyFont="1" applyBorder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69" fontId="18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right"/>
    </xf>
    <xf numFmtId="0" fontId="20" fillId="4" borderId="0" xfId="0" applyFont="1" applyFill="1"/>
    <xf numFmtId="169" fontId="20" fillId="4" borderId="0" xfId="0" applyNumberFormat="1" applyFont="1" applyFill="1"/>
    <xf numFmtId="169" fontId="20" fillId="0" borderId="0" xfId="0" applyNumberFormat="1" applyFont="1"/>
    <xf numFmtId="0" fontId="21" fillId="0" borderId="0" xfId="0" applyFont="1" applyAlignment="1">
      <alignment horizontal="right"/>
    </xf>
    <xf numFmtId="169" fontId="21" fillId="0" borderId="0" xfId="0" applyNumberFormat="1" applyFont="1"/>
    <xf numFmtId="40" fontId="21" fillId="0" borderId="0" xfId="0" applyNumberFormat="1" applyFont="1"/>
    <xf numFmtId="43" fontId="20" fillId="0" borderId="0" xfId="0" applyNumberFormat="1" applyFont="1"/>
    <xf numFmtId="9" fontId="20" fillId="0" borderId="0" xfId="2" applyFont="1" applyFill="1" applyBorder="1"/>
    <xf numFmtId="0" fontId="28" fillId="0" borderId="0" xfId="0" applyFont="1" applyAlignment="1">
      <alignment horizontal="right"/>
    </xf>
    <xf numFmtId="0" fontId="24" fillId="0" borderId="0" xfId="0" applyFont="1"/>
    <xf numFmtId="0" fontId="16" fillId="0" borderId="0" xfId="0" applyFont="1" applyAlignment="1">
      <alignment horizontal="right"/>
    </xf>
    <xf numFmtId="169" fontId="19" fillId="0" borderId="0" xfId="0" applyNumberFormat="1" applyFont="1"/>
    <xf numFmtId="40" fontId="15" fillId="0" borderId="0" xfId="0" applyNumberFormat="1" applyFont="1"/>
    <xf numFmtId="169" fontId="20" fillId="0" borderId="0" xfId="0" quotePrefix="1" applyNumberFormat="1" applyFont="1"/>
    <xf numFmtId="40" fontId="20" fillId="0" borderId="0" xfId="0" applyNumberFormat="1" applyFont="1"/>
    <xf numFmtId="0" fontId="19" fillId="0" borderId="0" xfId="0" applyFont="1" applyAlignment="1">
      <alignment horizontal="right"/>
    </xf>
    <xf numFmtId="169" fontId="21" fillId="0" borderId="0" xfId="0" quotePrefix="1" applyNumberFormat="1" applyFont="1"/>
    <xf numFmtId="0" fontId="21" fillId="0" borderId="0" xfId="0" applyFont="1"/>
    <xf numFmtId="0" fontId="27" fillId="0" borderId="0" xfId="0" applyFont="1" applyAlignment="1">
      <alignment horizontal="right"/>
    </xf>
    <xf numFmtId="169" fontId="18" fillId="0" borderId="0" xfId="1" applyNumberFormat="1" applyFont="1" applyBorder="1"/>
    <xf numFmtId="0" fontId="32" fillId="5" borderId="1" xfId="8" applyFont="1" applyFill="1" applyBorder="1" applyAlignment="1">
      <alignment horizontal="center"/>
    </xf>
    <xf numFmtId="6" fontId="8" fillId="5" borderId="23" xfId="1" applyNumberFormat="1" applyFont="1" applyFill="1" applyBorder="1" applyProtection="1"/>
    <xf numFmtId="4" fontId="33" fillId="5" borderId="0" xfId="0" applyNumberFormat="1" applyFont="1" applyFill="1"/>
    <xf numFmtId="0" fontId="33" fillId="5" borderId="0" xfId="0" applyFont="1" applyFill="1"/>
    <xf numFmtId="0" fontId="34" fillId="5" borderId="0" xfId="0" applyFont="1" applyFill="1"/>
    <xf numFmtId="6" fontId="8" fillId="6" borderId="23" xfId="1" applyNumberFormat="1" applyFont="1" applyFill="1" applyBorder="1" applyProtection="1"/>
    <xf numFmtId="7" fontId="8" fillId="5" borderId="22" xfId="9" applyNumberFormat="1" applyFont="1" applyFill="1" applyBorder="1" applyProtection="1"/>
    <xf numFmtId="7" fontId="8" fillId="0" borderId="22" xfId="9" applyNumberFormat="1" applyFont="1" applyBorder="1" applyProtection="1"/>
    <xf numFmtId="0" fontId="20" fillId="4" borderId="1" xfId="0" applyFont="1" applyFill="1" applyBorder="1"/>
    <xf numFmtId="169" fontId="21" fillId="0" borderId="0" xfId="0" applyNumberFormat="1" applyFont="1" applyAlignment="1">
      <alignment horizontal="right"/>
    </xf>
    <xf numFmtId="164" fontId="18" fillId="4" borderId="0" xfId="0" applyNumberFormat="1" applyFont="1" applyFill="1"/>
    <xf numFmtId="164" fontId="18" fillId="0" borderId="0" xfId="0" applyNumberFormat="1" applyFont="1"/>
    <xf numFmtId="169" fontId="15" fillId="0" borderId="0" xfId="0" applyNumberFormat="1" applyFont="1"/>
    <xf numFmtId="6" fontId="8" fillId="0" borderId="23" xfId="1" applyNumberFormat="1" applyFont="1" applyFill="1" applyBorder="1" applyProtection="1"/>
    <xf numFmtId="10" fontId="20" fillId="0" borderId="0" xfId="0" applyNumberFormat="1" applyFont="1"/>
    <xf numFmtId="169" fontId="18" fillId="4" borderId="1" xfId="0" applyNumberFormat="1" applyFont="1" applyFill="1" applyBorder="1"/>
    <xf numFmtId="9" fontId="35" fillId="0" borderId="0" xfId="2" applyFont="1"/>
    <xf numFmtId="0" fontId="16" fillId="0" borderId="1" xfId="0" applyFont="1" applyBorder="1"/>
    <xf numFmtId="169" fontId="15" fillId="4" borderId="13" xfId="0" applyNumberFormat="1" applyFont="1" applyFill="1" applyBorder="1" applyProtection="1">
      <protection locked="0"/>
    </xf>
    <xf numFmtId="0" fontId="16" fillId="4" borderId="0" xfId="0" applyFont="1" applyFill="1"/>
    <xf numFmtId="0" fontId="38" fillId="4" borderId="7" xfId="0" applyFont="1" applyFill="1" applyBorder="1"/>
    <xf numFmtId="43" fontId="15" fillId="0" borderId="0" xfId="9" applyFont="1"/>
    <xf numFmtId="9" fontId="15" fillId="0" borderId="0" xfId="2" applyFont="1"/>
    <xf numFmtId="9" fontId="15" fillId="4" borderId="0" xfId="2" applyFont="1" applyFill="1"/>
    <xf numFmtId="0" fontId="15" fillId="0" borderId="2" xfId="0" applyFont="1" applyBorder="1"/>
    <xf numFmtId="172" fontId="15" fillId="0" borderId="0" xfId="9" applyNumberFormat="1" applyFont="1"/>
    <xf numFmtId="172" fontId="15" fillId="4" borderId="0" xfId="9" applyNumberFormat="1" applyFont="1" applyFill="1"/>
    <xf numFmtId="0" fontId="39" fillId="3" borderId="9" xfId="5" applyFont="1" applyFill="1" applyBorder="1" applyAlignment="1">
      <alignment horizontal="left"/>
    </xf>
    <xf numFmtId="171" fontId="18" fillId="4" borderId="0" xfId="9" applyNumberFormat="1" applyFont="1" applyFill="1" applyBorder="1"/>
    <xf numFmtId="169" fontId="18" fillId="4" borderId="0" xfId="1" applyNumberFormat="1" applyFont="1" applyFill="1" applyBorder="1"/>
    <xf numFmtId="169" fontId="18" fillId="0" borderId="0" xfId="9" applyNumberFormat="1" applyFont="1" applyBorder="1"/>
    <xf numFmtId="169" fontId="18" fillId="0" borderId="0" xfId="2" applyNumberFormat="1" applyFont="1" applyBorder="1"/>
    <xf numFmtId="0" fontId="27" fillId="0" borderId="1" xfId="0" applyFont="1" applyBorder="1" applyAlignment="1">
      <alignment horizontal="right"/>
    </xf>
    <xf numFmtId="169" fontId="18" fillId="0" borderId="1" xfId="9" applyNumberFormat="1" applyFont="1" applyBorder="1"/>
    <xf numFmtId="0" fontId="29" fillId="3" borderId="0" xfId="0" applyFont="1" applyFill="1"/>
    <xf numFmtId="0" fontId="18" fillId="3" borderId="0" xfId="0" applyFont="1" applyFill="1"/>
    <xf numFmtId="169" fontId="27" fillId="0" borderId="1" xfId="1" applyNumberFormat="1" applyFont="1" applyBorder="1"/>
    <xf numFmtId="167" fontId="18" fillId="0" borderId="1" xfId="2" applyNumberFormat="1" applyFont="1" applyFill="1" applyBorder="1"/>
    <xf numFmtId="0" fontId="27" fillId="0" borderId="1" xfId="0" applyFont="1" applyBorder="1"/>
    <xf numFmtId="169" fontId="27" fillId="0" borderId="1" xfId="0" applyNumberFormat="1" applyFont="1" applyBorder="1"/>
    <xf numFmtId="43" fontId="27" fillId="0" borderId="1" xfId="0" applyNumberFormat="1" applyFont="1" applyBorder="1"/>
    <xf numFmtId="0" fontId="18" fillId="4" borderId="0" xfId="0" applyFont="1" applyFill="1" applyAlignment="1">
      <alignment horizontal="left" vertical="top" wrapText="1"/>
    </xf>
    <xf numFmtId="0" fontId="41" fillId="4" borderId="0" xfId="0" applyFont="1" applyFill="1"/>
    <xf numFmtId="0" fontId="27" fillId="0" borderId="8" xfId="0" applyFont="1" applyBorder="1"/>
    <xf numFmtId="0" fontId="27" fillId="0" borderId="8" xfId="0" applyFont="1" applyBorder="1" applyAlignment="1">
      <alignment horizontal="right"/>
    </xf>
    <xf numFmtId="0" fontId="27" fillId="0" borderId="8" xfId="0" applyFont="1" applyBorder="1" applyAlignment="1">
      <alignment wrapText="1"/>
    </xf>
    <xf numFmtId="0" fontId="27" fillId="0" borderId="8" xfId="0" applyFont="1" applyBorder="1" applyAlignment="1">
      <alignment horizontal="right" wrapText="1"/>
    </xf>
    <xf numFmtId="2" fontId="19" fillId="5" borderId="0" xfId="8" applyNumberFormat="1" applyFont="1" applyFill="1" applyAlignment="1">
      <alignment horizontal="left"/>
    </xf>
    <xf numFmtId="168" fontId="20" fillId="0" borderId="0" xfId="0" applyNumberFormat="1" applyFont="1"/>
    <xf numFmtId="0" fontId="23" fillId="0" borderId="0" xfId="0" applyFont="1" applyAlignment="1">
      <alignment horizontal="left"/>
    </xf>
    <xf numFmtId="172" fontId="20" fillId="0" borderId="0" xfId="0" applyNumberFormat="1" applyFont="1"/>
    <xf numFmtId="169" fontId="15" fillId="0" borderId="0" xfId="1" applyNumberFormat="1" applyFont="1" applyBorder="1"/>
    <xf numFmtId="172" fontId="20" fillId="4" borderId="0" xfId="0" applyNumberFormat="1" applyFont="1" applyFill="1"/>
    <xf numFmtId="169" fontId="20" fillId="0" borderId="0" xfId="1" applyNumberFormat="1" applyFont="1" applyBorder="1"/>
    <xf numFmtId="168" fontId="20" fillId="0" borderId="0" xfId="0" quotePrefix="1" applyNumberFormat="1" applyFont="1"/>
    <xf numFmtId="0" fontId="18" fillId="0" borderId="24" xfId="0" applyFont="1" applyBorder="1"/>
    <xf numFmtId="0" fontId="21" fillId="0" borderId="1" xfId="0" applyFont="1" applyBorder="1"/>
    <xf numFmtId="169" fontId="21" fillId="0" borderId="1" xfId="0" applyNumberFormat="1" applyFont="1" applyBorder="1"/>
    <xf numFmtId="9" fontId="20" fillId="4" borderId="0" xfId="0" applyNumberFormat="1" applyFont="1" applyFill="1"/>
    <xf numFmtId="0" fontId="32" fillId="0" borderId="0" xfId="8" applyFont="1" applyAlignment="1">
      <alignment horizontal="center"/>
    </xf>
    <xf numFmtId="0" fontId="31" fillId="3" borderId="26" xfId="0" applyFont="1" applyFill="1" applyBorder="1"/>
    <xf numFmtId="0" fontId="22" fillId="3" borderId="8" xfId="0" applyFont="1" applyFill="1" applyBorder="1"/>
    <xf numFmtId="165" fontId="22" fillId="3" borderId="8" xfId="0" quotePrefix="1" applyNumberFormat="1" applyFont="1" applyFill="1" applyBorder="1"/>
    <xf numFmtId="0" fontId="22" fillId="3" borderId="27" xfId="0" applyFont="1" applyFill="1" applyBorder="1"/>
    <xf numFmtId="9" fontId="15" fillId="5" borderId="0" xfId="2" applyFont="1" applyFill="1" applyBorder="1" applyProtection="1"/>
    <xf numFmtId="7" fontId="15" fillId="5" borderId="0" xfId="9" applyNumberFormat="1" applyFont="1" applyFill="1" applyBorder="1" applyProtection="1"/>
    <xf numFmtId="7" fontId="15" fillId="0" borderId="0" xfId="9" applyNumberFormat="1" applyFont="1" applyBorder="1" applyProtection="1"/>
    <xf numFmtId="0" fontId="42" fillId="5" borderId="0" xfId="0" applyFont="1" applyFill="1"/>
    <xf numFmtId="0" fontId="10" fillId="5" borderId="0" xfId="0" applyFont="1" applyFill="1"/>
    <xf numFmtId="9" fontId="15" fillId="5" borderId="1" xfId="2" applyFont="1" applyFill="1" applyBorder="1" applyProtection="1"/>
    <xf numFmtId="9" fontId="15" fillId="0" borderId="1" xfId="2" applyFont="1" applyBorder="1" applyProtection="1"/>
    <xf numFmtId="6" fontId="15" fillId="5" borderId="23" xfId="1" applyNumberFormat="1" applyFont="1" applyFill="1" applyBorder="1" applyProtection="1"/>
    <xf numFmtId="6" fontId="15" fillId="6" borderId="23" xfId="1" applyNumberFormat="1" applyFont="1" applyFill="1" applyBorder="1" applyProtection="1"/>
    <xf numFmtId="0" fontId="15" fillId="5" borderId="25" xfId="8" applyFont="1" applyFill="1" applyBorder="1"/>
    <xf numFmtId="9" fontId="15" fillId="5" borderId="21" xfId="2" applyFont="1" applyFill="1" applyBorder="1" applyProtection="1"/>
    <xf numFmtId="7" fontId="15" fillId="5" borderId="1" xfId="9" applyNumberFormat="1" applyFont="1" applyFill="1" applyBorder="1" applyProtection="1"/>
    <xf numFmtId="0" fontId="27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39" fillId="3" borderId="1" xfId="5" applyFont="1" applyFill="1" applyBorder="1"/>
    <xf numFmtId="0" fontId="11" fillId="3" borderId="12" xfId="5" applyFont="1" applyFill="1" applyBorder="1"/>
    <xf numFmtId="0" fontId="11" fillId="3" borderId="1" xfId="5" applyFont="1" applyFill="1" applyBorder="1"/>
    <xf numFmtId="0" fontId="15" fillId="0" borderId="24" xfId="0" applyFont="1" applyBorder="1"/>
    <xf numFmtId="0" fontId="15" fillId="0" borderId="0" xfId="0" applyFont="1" applyAlignment="1">
      <alignment horizontal="left"/>
    </xf>
    <xf numFmtId="0" fontId="40" fillId="0" borderId="0" xfId="0" applyFont="1" applyAlignment="1">
      <alignment vertical="top"/>
    </xf>
    <xf numFmtId="0" fontId="29" fillId="3" borderId="11" xfId="0" applyFont="1" applyFill="1" applyBorder="1"/>
    <xf numFmtId="0" fontId="31" fillId="3" borderId="0" xfId="0" applyFont="1" applyFill="1"/>
    <xf numFmtId="0" fontId="22" fillId="3" borderId="0" xfId="0" applyFont="1" applyFill="1"/>
    <xf numFmtId="165" fontId="22" fillId="3" borderId="0" xfId="0" quotePrefix="1" applyNumberFormat="1" applyFont="1" applyFill="1"/>
    <xf numFmtId="0" fontId="8" fillId="5" borderId="0" xfId="8" applyFont="1" applyFill="1"/>
    <xf numFmtId="9" fontId="8" fillId="5" borderId="0" xfId="2" applyFont="1" applyFill="1" applyBorder="1" applyProtection="1"/>
    <xf numFmtId="0" fontId="32" fillId="5" borderId="0" xfId="8" applyFont="1" applyFill="1"/>
    <xf numFmtId="7" fontId="8" fillId="5" borderId="21" xfId="9" applyNumberFormat="1" applyFont="1" applyFill="1" applyBorder="1" applyProtection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right" wrapText="1"/>
    </xf>
    <xf numFmtId="0" fontId="27" fillId="0" borderId="12" xfId="0" applyFont="1" applyBorder="1" applyAlignment="1">
      <alignment horizontal="right"/>
    </xf>
    <xf numFmtId="0" fontId="18" fillId="4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right" vertical="top" wrapText="1"/>
    </xf>
    <xf numFmtId="43" fontId="18" fillId="0" borderId="1" xfId="9" applyFont="1" applyFill="1" applyBorder="1"/>
    <xf numFmtId="9" fontId="18" fillId="0" borderId="0" xfId="2" applyFont="1" applyFill="1" applyBorder="1"/>
    <xf numFmtId="169" fontId="27" fillId="0" borderId="8" xfId="0" applyNumberFormat="1" applyFont="1" applyBorder="1"/>
    <xf numFmtId="0" fontId="21" fillId="0" borderId="8" xfId="0" applyFont="1" applyBorder="1" applyAlignment="1">
      <alignment horizontal="center" wrapText="1"/>
    </xf>
    <xf numFmtId="0" fontId="22" fillId="3" borderId="7" xfId="0" applyFont="1" applyFill="1" applyBorder="1"/>
    <xf numFmtId="6" fontId="8" fillId="5" borderId="26" xfId="1" applyNumberFormat="1" applyFont="1" applyFill="1" applyBorder="1" applyProtection="1"/>
    <xf numFmtId="9" fontId="8" fillId="5" borderId="1" xfId="2" applyFont="1" applyFill="1" applyBorder="1" applyProtection="1"/>
    <xf numFmtId="9" fontId="8" fillId="0" borderId="1" xfId="2" applyFont="1" applyBorder="1" applyProtection="1"/>
    <xf numFmtId="0" fontId="31" fillId="3" borderId="8" xfId="0" applyFont="1" applyFill="1" applyBorder="1"/>
    <xf numFmtId="9" fontId="18" fillId="0" borderId="1" xfId="0" applyNumberFormat="1" applyFont="1" applyBorder="1"/>
    <xf numFmtId="0" fontId="21" fillId="0" borderId="8" xfId="0" applyFont="1" applyBorder="1" applyAlignment="1">
      <alignment horizontal="right" wrapText="1"/>
    </xf>
    <xf numFmtId="40" fontId="21" fillId="0" borderId="8" xfId="0" applyNumberFormat="1" applyFont="1" applyBorder="1"/>
    <xf numFmtId="172" fontId="8" fillId="5" borderId="1" xfId="9" applyNumberFormat="1" applyFont="1" applyFill="1" applyBorder="1" applyProtection="1"/>
    <xf numFmtId="172" fontId="8" fillId="0" borderId="1" xfId="9" applyNumberFormat="1" applyFont="1" applyBorder="1" applyProtection="1"/>
    <xf numFmtId="0" fontId="29" fillId="3" borderId="22" xfId="0" applyFont="1" applyFill="1" applyBorder="1"/>
    <xf numFmtId="172" fontId="18" fillId="0" borderId="0" xfId="9" applyNumberFormat="1" applyFont="1" applyFill="1" applyBorder="1"/>
    <xf numFmtId="172" fontId="18" fillId="4" borderId="0" xfId="9" applyNumberFormat="1" applyFont="1" applyFill="1" applyBorder="1"/>
    <xf numFmtId="16" fontId="15" fillId="0" borderId="0" xfId="0" applyNumberFormat="1" applyFont="1"/>
    <xf numFmtId="44" fontId="15" fillId="0" borderId="0" xfId="1" applyFont="1" applyBorder="1"/>
    <xf numFmtId="44" fontId="15" fillId="0" borderId="0" xfId="0" applyNumberFormat="1" applyFont="1"/>
    <xf numFmtId="9" fontId="15" fillId="7" borderId="0" xfId="2" applyFont="1" applyFill="1" applyBorder="1"/>
    <xf numFmtId="44" fontId="15" fillId="0" borderId="0" xfId="1" applyFont="1"/>
    <xf numFmtId="8" fontId="15" fillId="0" borderId="0" xfId="0" applyNumberFormat="1" applyFont="1"/>
    <xf numFmtId="171" fontId="44" fillId="0" borderId="0" xfId="9" applyNumberFormat="1" applyFont="1" applyBorder="1"/>
    <xf numFmtId="0" fontId="44" fillId="0" borderId="0" xfId="0" applyFont="1"/>
    <xf numFmtId="164" fontId="15" fillId="0" borderId="0" xfId="0" applyNumberFormat="1" applyFont="1"/>
    <xf numFmtId="0" fontId="15" fillId="0" borderId="1" xfId="0" applyFont="1" applyBorder="1"/>
    <xf numFmtId="44" fontId="15" fillId="0" borderId="1" xfId="1" applyFont="1" applyBorder="1"/>
    <xf numFmtId="0" fontId="12" fillId="0" borderId="1" xfId="0" applyFont="1" applyBorder="1"/>
    <xf numFmtId="0" fontId="19" fillId="0" borderId="0" xfId="0" applyFont="1"/>
    <xf numFmtId="44" fontId="19" fillId="0" borderId="0" xfId="1" applyFont="1" applyBorder="1"/>
    <xf numFmtId="43" fontId="15" fillId="4" borderId="0" xfId="0" applyNumberFormat="1" applyFont="1" applyFill="1"/>
    <xf numFmtId="0" fontId="15" fillId="4" borderId="0" xfId="0" applyFont="1" applyFill="1"/>
    <xf numFmtId="9" fontId="15" fillId="0" borderId="0" xfId="2" applyFont="1" applyBorder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9" fillId="0" borderId="24" xfId="0" applyFont="1" applyBorder="1"/>
    <xf numFmtId="169" fontId="19" fillId="0" borderId="24" xfId="0" applyNumberFormat="1" applyFont="1" applyBorder="1"/>
    <xf numFmtId="0" fontId="46" fillId="0" borderId="0" xfId="0" applyFont="1"/>
    <xf numFmtId="0" fontId="3" fillId="0" borderId="0" xfId="0" applyFont="1"/>
    <xf numFmtId="0" fontId="3" fillId="8" borderId="0" xfId="0" applyFont="1" applyFill="1"/>
    <xf numFmtId="0" fontId="16" fillId="0" borderId="0" xfId="0" quotePrefix="1" applyFont="1"/>
    <xf numFmtId="171" fontId="15" fillId="4" borderId="11" xfId="9" applyNumberFormat="1" applyFont="1" applyFill="1" applyBorder="1" applyProtection="1">
      <protection locked="0"/>
    </xf>
    <xf numFmtId="0" fontId="19" fillId="0" borderId="1" xfId="0" applyFont="1" applyBorder="1" applyAlignment="1">
      <alignment horizontal="right"/>
    </xf>
    <xf numFmtId="169" fontId="21" fillId="0" borderId="1" xfId="0" quotePrefix="1" applyNumberFormat="1" applyFont="1" applyBorder="1"/>
    <xf numFmtId="0" fontId="35" fillId="0" borderId="0" xfId="0" applyFont="1"/>
    <xf numFmtId="2" fontId="19" fillId="5" borderId="1" xfId="8" applyNumberFormat="1" applyFont="1" applyFill="1" applyBorder="1" applyAlignment="1">
      <alignment horizontal="left"/>
    </xf>
    <xf numFmtId="169" fontId="19" fillId="0" borderId="1" xfId="0" applyNumberFormat="1" applyFont="1" applyBorder="1" applyAlignment="1">
      <alignment horizontal="right"/>
    </xf>
    <xf numFmtId="169" fontId="35" fillId="0" borderId="0" xfId="0" applyNumberFormat="1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169" fontId="35" fillId="0" borderId="0" xfId="0" applyNumberFormat="1" applyFont="1"/>
    <xf numFmtId="43" fontId="20" fillId="4" borderId="0" xfId="0" applyNumberFormat="1" applyFont="1" applyFill="1"/>
    <xf numFmtId="0" fontId="15" fillId="4" borderId="7" xfId="0" applyFont="1" applyFill="1" applyBorder="1"/>
    <xf numFmtId="0" fontId="15" fillId="4" borderId="12" xfId="0" applyFont="1" applyFill="1" applyBorder="1"/>
    <xf numFmtId="0" fontId="16" fillId="4" borderId="1" xfId="0" applyFont="1" applyFill="1" applyBorder="1"/>
    <xf numFmtId="172" fontId="15" fillId="4" borderId="1" xfId="9" applyNumberFormat="1" applyFont="1" applyFill="1" applyBorder="1"/>
    <xf numFmtId="9" fontId="15" fillId="4" borderId="1" xfId="2" applyFont="1" applyFill="1" applyBorder="1"/>
    <xf numFmtId="0" fontId="13" fillId="0" borderId="0" xfId="5" applyFont="1"/>
    <xf numFmtId="0" fontId="48" fillId="0" borderId="0" xfId="5" applyFont="1"/>
    <xf numFmtId="0" fontId="48" fillId="0" borderId="0" xfId="5" applyFont="1" applyAlignment="1">
      <alignment horizontal="left" indent="4"/>
    </xf>
    <xf numFmtId="0" fontId="47" fillId="0" borderId="0" xfId="10"/>
    <xf numFmtId="0" fontId="49" fillId="2" borderId="3" xfId="4" applyFont="1" applyAlignment="1">
      <alignment wrapText="1"/>
    </xf>
    <xf numFmtId="0" fontId="13" fillId="4" borderId="0" xfId="5" applyFont="1" applyFill="1" applyAlignment="1">
      <alignment wrapText="1"/>
    </xf>
    <xf numFmtId="0" fontId="36" fillId="0" borderId="19" xfId="5" applyFont="1" applyBorder="1"/>
    <xf numFmtId="0" fontId="37" fillId="0" borderId="8" xfId="5" applyFont="1" applyBorder="1"/>
    <xf numFmtId="0" fontId="37" fillId="0" borderId="20" xfId="5" applyFont="1" applyBorder="1"/>
    <xf numFmtId="0" fontId="36" fillId="0" borderId="8" xfId="5" applyFont="1" applyBorder="1" applyAlignment="1">
      <alignment horizontal="right"/>
    </xf>
    <xf numFmtId="0" fontId="10" fillId="0" borderId="0" xfId="0" applyFont="1"/>
    <xf numFmtId="169" fontId="10" fillId="0" borderId="0" xfId="0" applyNumberFormat="1" applyFont="1"/>
    <xf numFmtId="1" fontId="18" fillId="4" borderId="0" xfId="0" applyNumberFormat="1" applyFont="1" applyFill="1"/>
    <xf numFmtId="1" fontId="18" fillId="4" borderId="1" xfId="0" applyNumberFormat="1" applyFont="1" applyFill="1" applyBorder="1"/>
    <xf numFmtId="10" fontId="15" fillId="4" borderId="15" xfId="0" applyNumberFormat="1" applyFont="1" applyFill="1" applyBorder="1" applyProtection="1">
      <protection locked="0"/>
    </xf>
    <xf numFmtId="2" fontId="19" fillId="5" borderId="8" xfId="8" applyNumberFormat="1" applyFont="1" applyFill="1" applyBorder="1" applyAlignment="1">
      <alignment horizontal="left"/>
    </xf>
    <xf numFmtId="0" fontId="18" fillId="0" borderId="8" xfId="0" applyFont="1" applyBorder="1"/>
    <xf numFmtId="169" fontId="21" fillId="0" borderId="8" xfId="0" applyNumberFormat="1" applyFont="1" applyBorder="1"/>
    <xf numFmtId="0" fontId="15" fillId="0" borderId="8" xfId="0" applyFont="1" applyBorder="1"/>
    <xf numFmtId="0" fontId="27" fillId="0" borderId="0" xfId="0" applyFont="1" applyAlignment="1">
      <alignment wrapText="1"/>
    </xf>
    <xf numFmtId="0" fontId="18" fillId="0" borderId="0" xfId="0" applyFont="1" applyAlignment="1">
      <alignment wrapText="1"/>
    </xf>
    <xf numFmtId="169" fontId="18" fillId="0" borderId="0" xfId="0" applyNumberFormat="1" applyFont="1" applyAlignment="1">
      <alignment wrapText="1"/>
    </xf>
    <xf numFmtId="43" fontId="18" fillId="4" borderId="0" xfId="9" applyFont="1" applyFill="1" applyBorder="1"/>
    <xf numFmtId="167" fontId="20" fillId="4" borderId="0" xfId="2" applyNumberFormat="1" applyFont="1" applyFill="1" applyBorder="1"/>
    <xf numFmtId="167" fontId="18" fillId="4" borderId="0" xfId="2" applyNumberFormat="1" applyFont="1" applyFill="1" applyBorder="1"/>
    <xf numFmtId="0" fontId="32" fillId="5" borderId="0" xfId="8" applyFont="1" applyFill="1" applyAlignment="1">
      <alignment horizontal="center"/>
    </xf>
    <xf numFmtId="2" fontId="15" fillId="5" borderId="8" xfId="8" applyNumberFormat="1" applyFont="1" applyFill="1" applyBorder="1" applyAlignment="1">
      <alignment horizontal="left"/>
    </xf>
    <xf numFmtId="0" fontId="39" fillId="3" borderId="4" xfId="5" applyFont="1" applyFill="1" applyBorder="1" applyAlignment="1">
      <alignment horizontal="center"/>
    </xf>
    <xf numFmtId="0" fontId="39" fillId="3" borderId="5" xfId="5" applyFont="1" applyFill="1" applyBorder="1" applyAlignment="1">
      <alignment horizontal="center"/>
    </xf>
    <xf numFmtId="0" fontId="13" fillId="0" borderId="0" xfId="5" applyFont="1" applyAlignment="1">
      <alignment horizontal="right"/>
    </xf>
    <xf numFmtId="0" fontId="13" fillId="0" borderId="0" xfId="5" applyFont="1"/>
    <xf numFmtId="0" fontId="50" fillId="3" borderId="4" xfId="5" applyFont="1" applyFill="1" applyBorder="1"/>
    <xf numFmtId="0" fontId="50" fillId="3" borderId="5" xfId="5" applyFont="1" applyFill="1" applyBorder="1"/>
    <xf numFmtId="0" fontId="36" fillId="0" borderId="19" xfId="0" applyFont="1" applyBorder="1" applyAlignment="1">
      <alignment horizontal="left"/>
    </xf>
    <xf numFmtId="0" fontId="36" fillId="0" borderId="8" xfId="0" applyFont="1" applyBorder="1" applyAlignment="1">
      <alignment horizontal="left"/>
    </xf>
    <xf numFmtId="0" fontId="36" fillId="0" borderId="20" xfId="0" applyFont="1" applyBorder="1" applyAlignment="1">
      <alignment horizontal="left"/>
    </xf>
    <xf numFmtId="0" fontId="36" fillId="0" borderId="19" xfId="5" applyFont="1" applyBorder="1" applyAlignment="1">
      <alignment horizontal="left"/>
    </xf>
    <xf numFmtId="0" fontId="37" fillId="0" borderId="8" xfId="5" applyFont="1" applyBorder="1" applyAlignment="1">
      <alignment horizontal="left"/>
    </xf>
    <xf numFmtId="0" fontId="37" fillId="0" borderId="20" xfId="5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39" fillId="3" borderId="0" xfId="5" applyFont="1" applyFill="1" applyAlignment="1">
      <alignment horizontal="left"/>
    </xf>
    <xf numFmtId="0" fontId="40" fillId="0" borderId="0" xfId="0" applyFont="1" applyAlignment="1">
      <alignment horizontal="left" vertical="top" wrapText="1"/>
    </xf>
    <xf numFmtId="0" fontId="27" fillId="0" borderId="24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24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169" fontId="27" fillId="0" borderId="24" xfId="1" applyNumberFormat="1" applyFont="1" applyBorder="1" applyAlignment="1">
      <alignment horizontal="center" wrapText="1"/>
    </xf>
    <xf numFmtId="169" fontId="27" fillId="0" borderId="1" xfId="1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42" fillId="5" borderId="24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38" fillId="0" borderId="25" xfId="8" applyFont="1" applyBorder="1" applyAlignment="1">
      <alignment horizontal="center" vertical="center" textRotation="90"/>
    </xf>
    <xf numFmtId="0" fontId="38" fillId="0" borderId="28" xfId="8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8" fillId="5" borderId="0" xfId="8" applyFont="1" applyFill="1" applyAlignment="1">
      <alignment horizontal="center"/>
    </xf>
    <xf numFmtId="0" fontId="38" fillId="5" borderId="22" xfId="8" applyFont="1" applyFill="1" applyBorder="1" applyAlignment="1">
      <alignment horizontal="center"/>
    </xf>
    <xf numFmtId="0" fontId="39" fillId="3" borderId="1" xfId="5" applyFont="1" applyFill="1" applyBorder="1" applyAlignment="1">
      <alignment horizontal="left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32" fillId="0" borderId="0" xfId="8" applyFont="1" applyAlignment="1">
      <alignment horizontal="center" vertical="center" textRotation="90"/>
    </xf>
    <xf numFmtId="0" fontId="32" fillId="0" borderId="1" xfId="8" applyFont="1" applyBorder="1" applyAlignment="1">
      <alignment horizontal="center" vertical="center" textRotation="90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9" fontId="27" fillId="0" borderId="0" xfId="1" applyNumberFormat="1" applyFont="1" applyBorder="1" applyAlignment="1">
      <alignment horizontal="center" wrapText="1"/>
    </xf>
    <xf numFmtId="0" fontId="32" fillId="5" borderId="24" xfId="8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32" fillId="5" borderId="0" xfId="8" applyFont="1" applyFill="1" applyAlignment="1">
      <alignment horizontal="center"/>
    </xf>
    <xf numFmtId="9" fontId="8" fillId="5" borderId="0" xfId="2" applyFont="1" applyFill="1" applyBorder="1" applyAlignment="1" applyProtection="1">
      <alignment horizontal="center" vertical="center"/>
    </xf>
    <xf numFmtId="9" fontId="8" fillId="5" borderId="1" xfId="2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2" fillId="0" borderId="0" xfId="8" applyFont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0" fontId="53" fillId="0" borderId="0" xfId="10" applyFont="1"/>
  </cellXfs>
  <cellStyles count="11">
    <cellStyle name="Comma" xfId="9" builtinId="3"/>
    <cellStyle name="Currency" xfId="1" builtinId="4"/>
    <cellStyle name="Hyperlink" xfId="10" builtinId="8"/>
    <cellStyle name="Normal" xfId="0" builtinId="0"/>
    <cellStyle name="Normal 2" xfId="3" xr:uid="{6119C048-0403-44D0-8836-6BBEEC0F799C}"/>
    <cellStyle name="Normal 2 2" xfId="5" xr:uid="{7A0E3625-EACC-4F3C-AF5A-CE07342DFCA6}"/>
    <cellStyle name="Normal 2 3" xfId="8" xr:uid="{ACAEB1B2-BAD8-44F9-AA4C-C0A0749E5272}"/>
    <cellStyle name="Normal 3" xfId="6" xr:uid="{9FFBD2BD-F7CF-458E-99DE-94DEA0D06EC6}"/>
    <cellStyle name="Output" xfId="4" builtinId="21"/>
    <cellStyle name="Percent" xfId="2" builtinId="5"/>
    <cellStyle name="Percent 2" xfId="7" xr:uid="{7302AA40-DB61-40B1-8D15-718B6950C032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Forage growth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Warm season growth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0.03</c:v>
              </c:pt>
              <c:pt idx="4">
                <c:v>0.15</c:v>
              </c:pt>
              <c:pt idx="5">
                <c:v>0.22</c:v>
              </c:pt>
              <c:pt idx="6">
                <c:v>0.22</c:v>
              </c:pt>
              <c:pt idx="7">
                <c:v>0.2</c:v>
              </c:pt>
              <c:pt idx="8">
                <c:v>0.13</c:v>
              </c:pt>
              <c:pt idx="9">
                <c:v>0.05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66-4520-BB5D-F3FDE180243B}"/>
            </c:ext>
          </c:extLst>
        </c:ser>
        <c:ser>
          <c:idx val="1"/>
          <c:order val="1"/>
          <c:tx>
            <c:v>Cool season growth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0.02</c:v>
              </c:pt>
              <c:pt idx="2">
                <c:v>0.1</c:v>
              </c:pt>
              <c:pt idx="3">
                <c:v>0.17</c:v>
              </c:pt>
              <c:pt idx="4">
                <c:v>0.22</c:v>
              </c:pt>
              <c:pt idx="5">
                <c:v>0.14000000000000001</c:v>
              </c:pt>
              <c:pt idx="6">
                <c:v>0.03</c:v>
              </c:pt>
              <c:pt idx="7">
                <c:v>0.03</c:v>
              </c:pt>
              <c:pt idx="8">
                <c:v>0.12</c:v>
              </c:pt>
              <c:pt idx="9">
                <c:v>0.12</c:v>
              </c:pt>
              <c:pt idx="10">
                <c:v>0.05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66-4520-BB5D-F3FDE1802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01680"/>
        <c:axId val="75779600"/>
      </c:lineChart>
      <c:catAx>
        <c:axId val="758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5779600"/>
        <c:crosses val="autoZero"/>
        <c:auto val="1"/>
        <c:lblAlgn val="ctr"/>
        <c:lblOffset val="100"/>
        <c:noMultiLvlLbl val="0"/>
      </c:catAx>
      <c:valAx>
        <c:axId val="757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58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4857750</xdr:colOff>
      <xdr:row>4</xdr:row>
      <xdr:rowOff>6700</xdr:rowOff>
    </xdr:from>
    <xdr:to>
      <xdr:col>3</xdr:col>
      <xdr:colOff>171450</xdr:colOff>
      <xdr:row>7</xdr:row>
      <xdr:rowOff>127575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FB761-6873-42F5-B9A8-53670DE4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863950"/>
          <a:ext cx="2066925" cy="720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742950</xdr:colOff>
      <xdr:row>13</xdr:row>
      <xdr:rowOff>0</xdr:rowOff>
    </xdr:from>
    <xdr:to>
      <xdr:col>20</xdr:col>
      <xdr:colOff>457764</xdr:colOff>
      <xdr:row>26</xdr:row>
      <xdr:rowOff>38553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10244F-48B3-455A-8A25-F4037487C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2550" y="2667000"/>
          <a:ext cx="4039164" cy="3248478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12</xdr:row>
      <xdr:rowOff>166687</xdr:rowOff>
    </xdr:from>
    <xdr:to>
      <xdr:col>13</xdr:col>
      <xdr:colOff>666750</xdr:colOff>
      <xdr:row>26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DE79AC-20DD-4702-BA7A-F748FCCF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entzy, Andrew" id="{1FDB8A73-FD62-485E-B318-B687CB5E5E56}" userId="S::dskvnq@umsystem.edu::a3cafd4d-1261-4059-a3b4-924fe5b6a59e" providerId="AD"/>
</personList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9" dT="2025-08-04T17:14:30.05" personId="{1FDB8A73-FD62-485E-B318-B687CB5E5E56}" id="{A96B8781-59C6-4152-B0DB-013CBBFD9078}">
    <text>Income over cash-based costs excludes expenses not actively paid on many family operations including labor, business overhead, depreciation, and opportunity interest.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39" dT="2025-08-04T17:14:30.05" personId="{1FDB8A73-FD62-485E-B318-B687CB5E5E56}" id="{26783EBA-9FD9-4B52-8265-A6EE8F8FD6E1}">
    <text>Income over cash-based costs excludes expenses not actively paid on many family operations including labor, business overhead, depreciation, and opportunity interest.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36" dT="2025-08-04T17:14:30.05" personId="{1FDB8A73-FD62-485E-B318-B687CB5E5E56}" id="{60DD7453-BE9F-4208-981B-6A88E595DF75}">
    <text>Income over cash-based costs excludes expenses not actively paid on many family operations including labor, business overhead, depreciation, and opportunity interest.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37" dT="2025-08-04T17:14:30.05" personId="{1FDB8A73-FD62-485E-B318-B687CB5E5E56}" id="{59D3816F-0141-493E-B0BA-61FF3D2687E8}">
    <text>Income over cash-based costs excludes expenses not actively paid on many family operations including labor, business overhead, depreciation, and opportunity interest.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N2" dT="2025-10-21T16:26:11.43" personId="{1FDB8A73-FD62-485E-B318-B687CB5E5E56}" id="{32111C5B-AD67-4179-8412-F425B484CB1B}">
    <text>Switch to a pounds per head basis for supplemental feed, 7lb per head, gains of 1.6 for steers and 1.4 for heifers</text>
  </threadedComment>
  <threadedComment ref="I38" dT="2025-08-04T17:14:30.05" personId="{1FDB8A73-FD62-485E-B318-B687CB5E5E56}" id="{B918D4B3-1025-426B-BFCA-4B54A5A5B7E2}">
    <text>Income over cash-based costs excludes expenses not actively paid on many family operations including labor, business overhead, depreciation, and opportunity interest.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3" dT="2025-10-21T16:34:22.69" personId="{1FDB8A73-FD62-485E-B318-B687CB5E5E56}" id="{289C6720-2E61-453B-833B-9EF5C9682D3E}">
    <text>Purchased fall 2025, finished in April 2026</text>
  </threadedComment>
  <threadedComment ref="I38" dT="2025-08-04T17:14:30.05" personId="{1FDB8A73-FD62-485E-B318-B687CB5E5E56}" id="{0CFEFB95-8037-4B74-AE76-7A4E58962C99}">
    <text>Income over cash-based costs excludes expenses not actively paid on many family operations including labor, business overhead, depreciation, and opportunity interest.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tension.missouri.edu/publications/g68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extension.missouri.edu/publications/g679" TargetMode="External"/><Relationship Id="rId1" Type="http://schemas.openxmlformats.org/officeDocument/2006/relationships/hyperlink" Target="mailto:dkientzy@missouri.edu?subject=Beef%20Budget%20Assistanc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xtension.missouri.edu/publications/g683" TargetMode="External"/><Relationship Id="rId4" Type="http://schemas.openxmlformats.org/officeDocument/2006/relationships/hyperlink" Target="https://extension.missouri.edu/publications/g68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DA39-E794-47BA-B6F0-29565C81743C}">
  <dimension ref="A1:E25"/>
  <sheetViews>
    <sheetView showGridLines="0" tabSelected="1" workbookViewId="0">
      <selection activeCell="C13" sqref="C13"/>
    </sheetView>
  </sheetViews>
  <sheetFormatPr defaultColWidth="0" defaultRowHeight="15.75" zeroHeight="1"/>
  <cols>
    <col min="1" max="1" width="3.33203125" style="229" customWidth="1"/>
    <col min="2" max="2" width="8.88671875" style="229" customWidth="1"/>
    <col min="3" max="3" width="78.77734375" style="229" customWidth="1"/>
    <col min="4" max="4" width="8.88671875" style="229" customWidth="1"/>
    <col min="5" max="5" width="3.33203125" style="229" customWidth="1"/>
    <col min="6" max="16384" width="8.88671875" style="229" hidden="1"/>
  </cols>
  <sheetData>
    <row r="1" spans="2:4" ht="16.5" thickBot="1"/>
    <row r="2" spans="2:4" ht="21.75" thickBot="1">
      <c r="B2" s="256" t="s">
        <v>31</v>
      </c>
      <c r="C2" s="257"/>
      <c r="D2" s="257"/>
    </row>
    <row r="3" spans="2:4">
      <c r="B3" s="258" t="s">
        <v>45</v>
      </c>
      <c r="C3" s="258"/>
      <c r="D3" s="258"/>
    </row>
    <row r="4" spans="2:4">
      <c r="B4" s="259"/>
      <c r="C4" s="259"/>
      <c r="D4" s="259"/>
    </row>
    <row r="5" spans="2:4">
      <c r="C5" s="230" t="s">
        <v>32</v>
      </c>
    </row>
    <row r="6" spans="2:4">
      <c r="C6" s="231" t="s">
        <v>46</v>
      </c>
    </row>
    <row r="7" spans="2:4">
      <c r="C7" s="231" t="s">
        <v>33</v>
      </c>
    </row>
    <row r="8" spans="2:4"/>
    <row r="9" spans="2:4" ht="78.75">
      <c r="C9" s="1" t="s">
        <v>348</v>
      </c>
    </row>
    <row r="10" spans="2:4"/>
    <row r="11" spans="2:4" ht="47.25">
      <c r="C11" s="234" t="s">
        <v>285</v>
      </c>
    </row>
    <row r="12" spans="2:4"/>
    <row r="13" spans="2:4">
      <c r="C13" s="229" t="s">
        <v>357</v>
      </c>
    </row>
    <row r="14" spans="2:4">
      <c r="C14" s="305" t="s">
        <v>358</v>
      </c>
    </row>
    <row r="15" spans="2:4">
      <c r="C15" s="305" t="s">
        <v>359</v>
      </c>
    </row>
    <row r="16" spans="2:4">
      <c r="C16" s="305" t="s">
        <v>360</v>
      </c>
    </row>
    <row r="17" spans="2:4">
      <c r="C17" s="305" t="s">
        <v>361</v>
      </c>
    </row>
    <row r="18" spans="2:4"/>
    <row r="19" spans="2:4">
      <c r="C19" s="232" t="s">
        <v>286</v>
      </c>
    </row>
    <row r="20" spans="2:4"/>
    <row r="21" spans="2:4" ht="31.5">
      <c r="C21" s="233" t="s">
        <v>34</v>
      </c>
    </row>
    <row r="22" spans="2:4" ht="15.75" customHeight="1"/>
    <row r="23" spans="2:4" ht="16.5" thickBot="1"/>
    <row r="24" spans="2:4" ht="16.5" thickBot="1">
      <c r="B24" s="260"/>
      <c r="C24" s="261"/>
      <c r="D24" s="261"/>
    </row>
    <row r="25" spans="2:4"/>
  </sheetData>
  <sheetProtection sheet="1" objects="1" scenarios="1"/>
  <mergeCells count="4">
    <mergeCell ref="B2:D2"/>
    <mergeCell ref="B3:D3"/>
    <mergeCell ref="B4:D4"/>
    <mergeCell ref="B24:D24"/>
  </mergeCells>
  <hyperlinks>
    <hyperlink ref="C19" r:id="rId1" xr:uid="{90B9686F-8789-4144-A24B-1B140F980551}"/>
    <hyperlink ref="C14" r:id="rId2" xr:uid="{93E626DE-81CF-480E-9988-63C9D1F5511C}"/>
    <hyperlink ref="C15" r:id="rId3" xr:uid="{C6F16796-D95B-4AD7-8666-95D102209CA6}"/>
    <hyperlink ref="C16" r:id="rId4" xr:uid="{83C24B54-99F0-4E8E-914B-D48770561936}"/>
    <hyperlink ref="C17" r:id="rId5" xr:uid="{D7954ADD-65CD-46FA-BBD0-BA1B15A3E849}"/>
  </hyperlinks>
  <pageMargins left="0.7" right="0.7" top="0.75" bottom="0.75" header="0.3" footer="0.3"/>
  <pageSetup orientation="landscape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62DA-2458-4E18-812A-61F2D7FE0EBA}">
  <sheetPr>
    <pageSetUpPr fitToPage="1"/>
  </sheetPr>
  <dimension ref="A1:W57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6640625" style="13" customWidth="1"/>
    <col min="3" max="3" width="12.109375" style="13" customWidth="1"/>
    <col min="4" max="4" width="7.88671875" style="13" bestFit="1" customWidth="1"/>
    <col min="5" max="5" width="7.44140625" style="13" bestFit="1" customWidth="1"/>
    <col min="6" max="6" width="8.6640625" style="13" customWidth="1"/>
    <col min="7" max="7" width="9" style="13" customWidth="1"/>
    <col min="8" max="8" width="11.21875" style="13" customWidth="1"/>
    <col min="9" max="9" width="10.88671875" style="13" customWidth="1"/>
    <col min="10" max="10" width="9.109375" style="13" bestFit="1" customWidth="1"/>
    <col min="11" max="11" width="6.88671875" style="13" bestFit="1" customWidth="1"/>
    <col min="12" max="12" width="2" style="13" customWidth="1"/>
    <col min="13" max="13" width="17.5546875" style="13" customWidth="1"/>
    <col min="14" max="14" width="11.88671875" style="13" customWidth="1"/>
    <col min="15" max="15" width="14.33203125" style="13" customWidth="1"/>
    <col min="16" max="16" width="9" style="13" customWidth="1"/>
    <col min="17" max="17" width="9.33203125" style="13" customWidth="1"/>
    <col min="18" max="18" width="13" style="13" customWidth="1"/>
    <col min="19" max="19" width="9.5546875" style="13" customWidth="1"/>
    <col min="20" max="20" width="9.6640625" style="13" customWidth="1"/>
    <col min="21" max="21" width="8.44140625" style="13" customWidth="1"/>
    <col min="22" max="22" width="8.33203125" style="13" customWidth="1"/>
    <col min="23" max="23" width="3.33203125" style="13" customWidth="1"/>
    <col min="24" max="16384" width="8.88671875" style="13" hidden="1"/>
  </cols>
  <sheetData>
    <row r="1" spans="1:22" ht="20.100000000000001" customHeight="1">
      <c r="B1" s="150" t="s">
        <v>171</v>
      </c>
      <c r="C1" s="151"/>
      <c r="D1" s="152"/>
      <c r="E1" s="152"/>
      <c r="F1" s="152"/>
      <c r="G1" s="152"/>
      <c r="H1" s="152"/>
      <c r="I1" s="152"/>
      <c r="J1" s="152"/>
      <c r="M1" s="106" t="s">
        <v>133</v>
      </c>
      <c r="N1" s="106"/>
      <c r="O1" s="106"/>
      <c r="P1" s="156"/>
      <c r="Q1" s="106"/>
      <c r="R1" s="107"/>
      <c r="S1" s="107"/>
      <c r="T1" s="107"/>
    </row>
    <row r="2" spans="1:22" ht="31.5">
      <c r="B2" s="18" t="s">
        <v>25</v>
      </c>
      <c r="C2" s="17"/>
      <c r="D2" s="17"/>
      <c r="E2" s="17"/>
      <c r="F2" s="18" t="s">
        <v>38</v>
      </c>
      <c r="G2" s="18" t="s">
        <v>47</v>
      </c>
      <c r="H2" s="18" t="s">
        <v>48</v>
      </c>
      <c r="I2" s="179" t="s">
        <v>127</v>
      </c>
      <c r="J2" s="179" t="s">
        <v>128</v>
      </c>
      <c r="M2" s="164" t="s">
        <v>58</v>
      </c>
      <c r="N2" s="148" t="s">
        <v>158</v>
      </c>
      <c r="O2" s="148" t="s">
        <v>76</v>
      </c>
      <c r="P2" s="148" t="s">
        <v>143</v>
      </c>
      <c r="Q2" s="148" t="s">
        <v>142</v>
      </c>
      <c r="R2" s="148" t="s">
        <v>152</v>
      </c>
      <c r="S2" s="148" t="s">
        <v>151</v>
      </c>
      <c r="T2" s="148" t="s">
        <v>150</v>
      </c>
    </row>
    <row r="3" spans="1:22" ht="15.95" customHeight="1">
      <c r="B3" s="120" t="s">
        <v>10</v>
      </c>
      <c r="C3" s="20" t="s">
        <v>159</v>
      </c>
      <c r="D3" s="20"/>
      <c r="E3" s="20"/>
      <c r="F3" s="51" t="s">
        <v>50</v>
      </c>
      <c r="G3" s="52">
        <v>15.1</v>
      </c>
      <c r="H3" s="53">
        <v>244</v>
      </c>
      <c r="I3" s="54">
        <f>G3*H3</f>
        <v>3684.4</v>
      </c>
      <c r="J3" s="54"/>
      <c r="M3" s="37" t="s">
        <v>22</v>
      </c>
      <c r="N3" s="45">
        <v>0.12</v>
      </c>
      <c r="O3" s="38">
        <f>AVERAGE(P3,Q3)/$O$14/(AVERAGE($G$3,$G$4,$G$10,$G$11)*100)</f>
        <v>2.8176020408163271E-3</v>
      </c>
      <c r="P3" s="39">
        <f>N3*$O$15*$O$16*$O$14</f>
        <v>662.4</v>
      </c>
      <c r="Q3" s="39">
        <f>N3*$P$15*$P$16*$P$14</f>
        <v>663.00000000000011</v>
      </c>
      <c r="R3" s="27">
        <f>(P3*$O$18+Q3*$P$18)/SUM($O$18:$P$18)/VLOOKUP(M3,Inputs!$B$10:$F$21,3,FALSE)*VLOOKUP(M3,Inputs!$B$10:$F$21,5,FALSE)</f>
        <v>29.8188</v>
      </c>
      <c r="S3" s="40">
        <f>P3*$O$18+Q3*$P$18</f>
        <v>33132</v>
      </c>
      <c r="T3" s="27">
        <f>R3*SUM($O$18:$P$18)</f>
        <v>1490.94</v>
      </c>
    </row>
    <row r="4" spans="1:22" ht="15.95" customHeight="1">
      <c r="A4" s="16"/>
      <c r="B4" s="120" t="s">
        <v>11</v>
      </c>
      <c r="C4" s="20" t="s">
        <v>160</v>
      </c>
      <c r="D4" s="20"/>
      <c r="E4" s="20"/>
      <c r="F4" s="51" t="s">
        <v>50</v>
      </c>
      <c r="G4" s="52">
        <v>14</v>
      </c>
      <c r="H4" s="53">
        <v>245</v>
      </c>
      <c r="I4" s="54"/>
      <c r="J4" s="54">
        <f>G4*H4</f>
        <v>3430</v>
      </c>
      <c r="M4" s="37" t="s">
        <v>344</v>
      </c>
      <c r="N4" s="45">
        <v>0.68</v>
      </c>
      <c r="O4" s="38">
        <f>AVERAGE(P4,Q4)/$O$14/(AVERAGE($G$3,$G$4,$G$10,$G$11)*100)</f>
        <v>1.5966411564625849E-2</v>
      </c>
      <c r="P4" s="39">
        <f>N4*$O$15*$O$16*$O$14</f>
        <v>3753.6000000000004</v>
      </c>
      <c r="Q4" s="39">
        <f>N4*$P$15*$P$16*$P$14</f>
        <v>3757.0000000000005</v>
      </c>
      <c r="R4" s="27">
        <f>(P4*$O$18+Q4*$P$18)/SUM($O$18:$P$18)/VLOOKUP(M4,Inputs!$B$10:$F$21,3,FALSE)*VLOOKUP(M4,Inputs!$B$10:$F$21,5,FALSE)</f>
        <v>283.63358571428574</v>
      </c>
      <c r="S4" s="40">
        <f>P4*$O$18+Q4*$P$18</f>
        <v>187748.00000000003</v>
      </c>
      <c r="T4" s="27">
        <f>R4*SUM($O$18:$P$18)</f>
        <v>14181.679285714286</v>
      </c>
    </row>
    <row r="5" spans="1:22" ht="15.95" customHeight="1">
      <c r="A5" s="16"/>
      <c r="B5" s="120"/>
      <c r="C5" s="20" t="s">
        <v>356</v>
      </c>
      <c r="D5" s="20"/>
      <c r="E5" s="20"/>
      <c r="F5" s="51"/>
      <c r="G5" s="20"/>
      <c r="H5" s="54"/>
      <c r="I5" s="54">
        <f>-O17*I3</f>
        <v>-36.844000000000001</v>
      </c>
      <c r="J5" s="54">
        <f>-J4*P17</f>
        <v>-34.300000000000004</v>
      </c>
      <c r="M5" s="37" t="s">
        <v>41</v>
      </c>
      <c r="N5" s="45">
        <v>0.18</v>
      </c>
      <c r="O5" s="38">
        <f>AVERAGE(P5,Q5)/$O$14/(AVERAGE($G$3,$G$4,$G$10,$G$11)*100)</f>
        <v>4.22640306122449E-3</v>
      </c>
      <c r="P5" s="39">
        <f>N5*$O$15*$O$16*$O$14</f>
        <v>993.6</v>
      </c>
      <c r="Q5" s="39">
        <f>N5*$P$15*$P$16*$P$14</f>
        <v>994.5</v>
      </c>
      <c r="R5" s="27">
        <f>(P5*$O$18+Q5*$P$18)/SUM($O$18:$P$18)/VLOOKUP(M5,Inputs!$B$10:$F$21,3,FALSE)*VLOOKUP(M5,Inputs!$B$10:$F$21,5,FALSE)</f>
        <v>86.971500000000006</v>
      </c>
      <c r="S5" s="40">
        <f>P5*$O$18+Q5*$P$18</f>
        <v>49698</v>
      </c>
      <c r="T5" s="27">
        <f>R5*SUM($O$18:$P$18)</f>
        <v>4348.5750000000007</v>
      </c>
    </row>
    <row r="6" spans="1:22" ht="15.95" customHeight="1">
      <c r="A6" s="16"/>
      <c r="B6" s="120"/>
      <c r="C6" s="20" t="s">
        <v>5</v>
      </c>
      <c r="D6" s="20"/>
      <c r="E6" s="20"/>
      <c r="F6" s="51"/>
      <c r="G6" s="20"/>
      <c r="H6" s="20"/>
      <c r="I6" s="80">
        <v>0</v>
      </c>
      <c r="J6" s="28">
        <v>0</v>
      </c>
      <c r="K6" s="15"/>
      <c r="L6" s="15"/>
      <c r="M6" s="37" t="s">
        <v>42</v>
      </c>
      <c r="N6" s="45">
        <v>0.01</v>
      </c>
      <c r="O6" s="38">
        <f>AVERAGE(P6,Q6)/$O$14/(AVERAGE($G$3,$G$4,$G$10,$G$11)*100)</f>
        <v>2.3480017006802722E-4</v>
      </c>
      <c r="P6" s="39">
        <f>N6*$O$15*$O$16*$O$14</f>
        <v>55.199999999999996</v>
      </c>
      <c r="Q6" s="39">
        <f>N6*$P$15*$P$16*$P$14</f>
        <v>55.25</v>
      </c>
      <c r="R6" s="27">
        <f>(P6*$O$18+Q6*$P$18)/SUM($O$18:$P$18)/VLOOKUP(M6,Inputs!$B$10:$F$21,3,FALSE)*VLOOKUP(M6,Inputs!$B$10:$F$21,5,FALSE)</f>
        <v>7.1786000000000003</v>
      </c>
      <c r="S6" s="40">
        <f>P6*$O$18+Q6*$P$18</f>
        <v>2761</v>
      </c>
      <c r="T6" s="27">
        <f>R6*SUM($O$18:$P$18)</f>
        <v>358.93</v>
      </c>
    </row>
    <row r="7" spans="1:22" ht="15.95" customHeight="1">
      <c r="A7" s="21"/>
      <c r="B7" s="20"/>
      <c r="C7" s="69"/>
      <c r="D7" s="69"/>
      <c r="E7" s="69"/>
      <c r="F7" s="51"/>
      <c r="G7" s="20"/>
      <c r="H7" s="55" t="s">
        <v>26</v>
      </c>
      <c r="I7" s="81">
        <f>SUM(I3:I6)</f>
        <v>3647.556</v>
      </c>
      <c r="J7" s="56">
        <f>SUM(J3:J6)</f>
        <v>3395.7</v>
      </c>
      <c r="K7" s="22"/>
      <c r="L7" s="22"/>
      <c r="M7" s="37" t="s">
        <v>36</v>
      </c>
      <c r="N7" s="45">
        <v>0.01</v>
      </c>
      <c r="O7" s="38">
        <f>AVERAGE(P7,Q7)/$O$14/(AVERAGE($G$3,$G$4,$G$10,$G$11)*100)</f>
        <v>2.3480017006802722E-4</v>
      </c>
      <c r="P7" s="39">
        <f>N7*$O$15*$O$16*$O$14</f>
        <v>55.199999999999996</v>
      </c>
      <c r="Q7" s="39">
        <f>N7*$P$15*$P$16*$P$14</f>
        <v>55.25</v>
      </c>
      <c r="R7" s="43">
        <f>(P7*$O$18+Q7*$P$18)/SUM($O$18:$P$18)/VLOOKUP(M7,Inputs!$B$10:$F$21,3,FALSE)*VLOOKUP(M7,Inputs!$B$10:$F$21,5,FALSE)</f>
        <v>33.131999999999998</v>
      </c>
      <c r="S7" s="40">
        <f>P7*$O$18+Q7*$P$18</f>
        <v>2761</v>
      </c>
      <c r="T7" s="43">
        <f>R7*SUM($O$18:$P$18)</f>
        <v>1656.6</v>
      </c>
    </row>
    <row r="8" spans="1:22" ht="15.95" customHeight="1">
      <c r="A8" s="21"/>
      <c r="B8" s="20"/>
      <c r="C8" s="69"/>
      <c r="D8" s="69"/>
      <c r="E8" s="69"/>
      <c r="F8" s="51"/>
      <c r="G8" s="20"/>
      <c r="H8" s="20"/>
      <c r="I8" s="20"/>
      <c r="J8" s="57"/>
      <c r="M8" s="32"/>
      <c r="N8" s="178"/>
      <c r="O8" s="109"/>
      <c r="P8" s="169"/>
      <c r="Q8" s="104" t="s">
        <v>77</v>
      </c>
      <c r="R8" s="111">
        <f t="shared" ref="R8:T8" si="0">SUM(R3:R7)</f>
        <v>440.73448571428577</v>
      </c>
      <c r="S8" s="112"/>
      <c r="T8" s="111">
        <f t="shared" si="0"/>
        <v>22036.724285714285</v>
      </c>
    </row>
    <row r="9" spans="1:22" ht="15.95" customHeight="1">
      <c r="A9" s="21"/>
      <c r="B9" s="18" t="s">
        <v>24</v>
      </c>
      <c r="C9" s="17"/>
      <c r="D9" s="17"/>
      <c r="E9" s="17"/>
      <c r="F9" s="18"/>
      <c r="G9" s="18"/>
      <c r="H9" s="18"/>
      <c r="I9" s="18"/>
      <c r="J9" s="180"/>
      <c r="M9" s="49"/>
      <c r="N9" s="48"/>
      <c r="O9" s="48"/>
      <c r="P9" s="48"/>
      <c r="R9" s="222">
        <f>R8/(AVERAGE(G3:G4)-AVERAGE(G10:G11))</f>
        <v>65.781266524520248</v>
      </c>
    </row>
    <row r="10" spans="1:22" ht="15.95" customHeight="1">
      <c r="A10" s="21"/>
      <c r="B10" s="69"/>
      <c r="C10" s="20" t="s">
        <v>161</v>
      </c>
      <c r="D10" s="20"/>
      <c r="E10" s="20"/>
      <c r="F10" s="51" t="s">
        <v>50</v>
      </c>
      <c r="G10" s="52">
        <v>8.1999999999999993</v>
      </c>
      <c r="H10" s="53">
        <v>342</v>
      </c>
      <c r="I10" s="54">
        <f>G10*H10</f>
        <v>2804.3999999999996</v>
      </c>
      <c r="J10" s="66"/>
      <c r="M10" s="48"/>
      <c r="N10" s="48"/>
      <c r="O10" s="48"/>
      <c r="P10" s="48"/>
    </row>
    <row r="11" spans="1:22" ht="15.95" customHeight="1">
      <c r="A11" s="21"/>
      <c r="B11" s="20"/>
      <c r="C11" s="20" t="s">
        <v>162</v>
      </c>
      <c r="D11" s="20"/>
      <c r="E11" s="20"/>
      <c r="F11" s="51" t="s">
        <v>50</v>
      </c>
      <c r="G11" s="52">
        <v>7.5</v>
      </c>
      <c r="H11" s="53">
        <v>336</v>
      </c>
      <c r="I11" s="54"/>
      <c r="J11" s="66">
        <f>G11*H11</f>
        <v>2520</v>
      </c>
      <c r="M11" s="106" t="s">
        <v>62</v>
      </c>
      <c r="N11" s="106"/>
      <c r="O11" s="106"/>
      <c r="P11" s="183"/>
      <c r="R11" s="106" t="s">
        <v>83</v>
      </c>
      <c r="S11" s="106"/>
      <c r="T11" s="106"/>
      <c r="U11" s="106"/>
      <c r="V11" s="106"/>
    </row>
    <row r="12" spans="1:22" ht="15.95" customHeight="1">
      <c r="A12" s="16"/>
      <c r="B12" s="20"/>
      <c r="C12" s="20" t="str">
        <f>M3</f>
        <v>Mixed hay</v>
      </c>
      <c r="D12" s="20"/>
      <c r="E12" s="20"/>
      <c r="F12" s="51" t="str">
        <f>VLOOKUP(C12,Inputs!$B$10:$F$21,2,FALSE)</f>
        <v>ton</v>
      </c>
      <c r="G12" s="58"/>
      <c r="H12" s="54">
        <f>VLOOKUP(C12,Inputs!$B$10:$F$21,5,FALSE)</f>
        <v>90</v>
      </c>
      <c r="I12" s="54">
        <f>$H12*P3/VLOOKUP(C12,Inputs!$B$10:$F$21,3,FALSE)</f>
        <v>29.808</v>
      </c>
      <c r="J12" s="54">
        <f>$H12*Q3/VLOOKUP(C12,Inputs!$B$10:$F$21,3,FALSE)</f>
        <v>29.835000000000004</v>
      </c>
      <c r="M12" s="301"/>
      <c r="N12" s="290" t="s">
        <v>38</v>
      </c>
      <c r="O12" s="290" t="s">
        <v>136</v>
      </c>
      <c r="P12" s="290" t="s">
        <v>137</v>
      </c>
      <c r="R12" s="290" t="s">
        <v>82</v>
      </c>
      <c r="S12" s="290" t="s">
        <v>84</v>
      </c>
      <c r="T12" s="290" t="s">
        <v>208</v>
      </c>
      <c r="U12" s="290" t="s">
        <v>85</v>
      </c>
      <c r="V12" s="290" t="s">
        <v>86</v>
      </c>
    </row>
    <row r="13" spans="1:22" ht="15.95" customHeight="1">
      <c r="A13" s="16"/>
      <c r="B13" s="20"/>
      <c r="C13" s="20" t="str">
        <f>M4</f>
        <v>Farm-raised corn</v>
      </c>
      <c r="D13" s="20"/>
      <c r="E13" s="20"/>
      <c r="F13" s="51" t="str">
        <f>VLOOKUP(C13,Inputs!$B$10:$F$21,2,FALSE)</f>
        <v>bushel</v>
      </c>
      <c r="G13" s="58"/>
      <c r="H13" s="54">
        <f>VLOOKUP(C13,Inputs!$B$10:$F$21,5,FALSE)</f>
        <v>4.2300000000000004</v>
      </c>
      <c r="I13" s="54">
        <f>$H13*P4/VLOOKUP(C13,Inputs!$B$10:$F$21,3,FALSE)</f>
        <v>283.5308571428572</v>
      </c>
      <c r="J13" s="54">
        <f>$H13*Q4/VLOOKUP(C13,Inputs!$B$10:$F$21,3,FALSE)</f>
        <v>283.78767857142867</v>
      </c>
      <c r="M13" s="302"/>
      <c r="N13" s="274"/>
      <c r="O13" s="274"/>
      <c r="P13" s="274"/>
      <c r="R13" s="274"/>
      <c r="S13" s="274"/>
      <c r="T13" s="274"/>
      <c r="U13" s="274"/>
      <c r="V13" s="274"/>
    </row>
    <row r="14" spans="1:22" ht="15.95" customHeight="1">
      <c r="A14" s="16"/>
      <c r="B14" s="20"/>
      <c r="C14" s="20" t="str">
        <f>M5</f>
        <v>Dried distillers grains</v>
      </c>
      <c r="D14" s="20"/>
      <c r="E14" s="20"/>
      <c r="F14" s="51" t="str">
        <f>VLOOKUP(C14,Inputs!$B$10:$F$21,2,FALSE)</f>
        <v>ton</v>
      </c>
      <c r="G14" s="58"/>
      <c r="H14" s="54">
        <f>VLOOKUP(C14,Inputs!$B$10:$F$21,5,FALSE)</f>
        <v>175</v>
      </c>
      <c r="I14" s="54">
        <f>$H14*P5/VLOOKUP(C14,Inputs!$B$10:$F$21,3,FALSE)</f>
        <v>86.94</v>
      </c>
      <c r="J14" s="54">
        <f>$H14*Q5/VLOOKUP(C14,Inputs!$B$10:$F$21,3,FALSE)</f>
        <v>87.018749999999997</v>
      </c>
      <c r="M14" s="13" t="s">
        <v>138</v>
      </c>
      <c r="N14" s="4" t="s">
        <v>116</v>
      </c>
      <c r="O14" s="37">
        <v>210</v>
      </c>
      <c r="P14" s="37">
        <v>210</v>
      </c>
      <c r="R14" s="91" t="s">
        <v>175</v>
      </c>
      <c r="S14" s="44">
        <v>55</v>
      </c>
      <c r="T14" s="37">
        <v>0.75</v>
      </c>
      <c r="U14" s="37">
        <v>125</v>
      </c>
      <c r="V14" s="27">
        <f>S14*T14*U14</f>
        <v>5156.25</v>
      </c>
    </row>
    <row r="15" spans="1:22" ht="15.95" customHeight="1">
      <c r="A15" s="16"/>
      <c r="B15" s="20"/>
      <c r="C15" s="20" t="str">
        <f>M6</f>
        <v>Limestone</v>
      </c>
      <c r="D15" s="20"/>
      <c r="E15" s="20"/>
      <c r="F15" s="51" t="str">
        <f>VLOOKUP(C15,Inputs!$B$10:$F$21,2,FALSE)</f>
        <v>cwt.</v>
      </c>
      <c r="G15" s="58"/>
      <c r="H15" s="54">
        <f>VLOOKUP(C15,Inputs!$B$10:$F$21,5,FALSE)</f>
        <v>13</v>
      </c>
      <c r="I15" s="54">
        <f>$H15*P6/VLOOKUP(C15,Inputs!$B$10:$F$21,3,FALSE)</f>
        <v>7.1759999999999993</v>
      </c>
      <c r="J15" s="54">
        <f>$H15*Q6/VLOOKUP(C15,Inputs!$B$10:$F$21,3,FALSE)</f>
        <v>7.1825000000000001</v>
      </c>
      <c r="M15" s="13" t="s">
        <v>139</v>
      </c>
      <c r="N15" s="4"/>
      <c r="O15" s="83">
        <f>(G3-G10)*100/O14</f>
        <v>3.2857142857142856</v>
      </c>
      <c r="P15" s="184">
        <f>(G4-G11)*100/P14</f>
        <v>3.0952380952380953</v>
      </c>
      <c r="R15" s="91" t="s">
        <v>146</v>
      </c>
      <c r="S15" s="44">
        <v>15</v>
      </c>
      <c r="T15" s="37">
        <v>0.75</v>
      </c>
      <c r="U15" s="37">
        <v>90</v>
      </c>
      <c r="V15" s="27">
        <f t="shared" ref="V15:V19" si="1">S15*T15*U15</f>
        <v>1012.5</v>
      </c>
    </row>
    <row r="16" spans="1:22" ht="15.95" customHeight="1">
      <c r="A16" s="16"/>
      <c r="B16" s="20"/>
      <c r="C16" s="20" t="str">
        <f>M7</f>
        <v>Salt and minerals</v>
      </c>
      <c r="D16" s="20"/>
      <c r="E16" s="20"/>
      <c r="F16" s="51" t="str">
        <f>VLOOKUP(C16,Inputs!$B$10:$F$21,2,FALSE)</f>
        <v>pound</v>
      </c>
      <c r="G16" s="58"/>
      <c r="H16" s="84">
        <f>VLOOKUP(C16,Inputs!$B$10:$F$21,5,FALSE)</f>
        <v>0.6</v>
      </c>
      <c r="I16" s="54">
        <f>$H16*P7/VLOOKUP(C16,Inputs!$B$10:$F$21,3,FALSE)</f>
        <v>33.119999999999997</v>
      </c>
      <c r="J16" s="54">
        <f>$H16*Q7/VLOOKUP(C16,Inputs!$B$10:$F$21,3,FALSE)</f>
        <v>33.15</v>
      </c>
      <c r="M16" s="13" t="s">
        <v>140</v>
      </c>
      <c r="N16" s="4" t="s">
        <v>141</v>
      </c>
      <c r="O16" s="82">
        <v>8</v>
      </c>
      <c r="P16" s="185">
        <v>8.5</v>
      </c>
      <c r="R16" s="91" t="s">
        <v>87</v>
      </c>
      <c r="S16" s="44">
        <v>32</v>
      </c>
      <c r="T16" s="37">
        <v>0.5</v>
      </c>
      <c r="U16" s="37">
        <v>30</v>
      </c>
      <c r="V16" s="102">
        <f t="shared" si="1"/>
        <v>480</v>
      </c>
    </row>
    <row r="17" spans="1:22" ht="15.95" customHeight="1">
      <c r="A17" s="16"/>
      <c r="B17" s="20"/>
      <c r="C17" s="20" t="s">
        <v>12</v>
      </c>
      <c r="D17" s="20"/>
      <c r="E17" s="20"/>
      <c r="F17" s="51" t="s">
        <v>55</v>
      </c>
      <c r="G17" s="52">
        <v>2</v>
      </c>
      <c r="H17" s="54">
        <f>Inputs!F23</f>
        <v>22</v>
      </c>
      <c r="I17" s="54">
        <f>G17*H17</f>
        <v>44</v>
      </c>
      <c r="J17" s="54">
        <f>G17*H17</f>
        <v>44</v>
      </c>
      <c r="M17" s="13" t="s">
        <v>135</v>
      </c>
      <c r="N17" s="4" t="s">
        <v>120</v>
      </c>
      <c r="O17" s="45">
        <v>0.01</v>
      </c>
      <c r="P17" s="45">
        <v>0.01</v>
      </c>
      <c r="R17" s="91" t="s">
        <v>88</v>
      </c>
      <c r="S17" s="44">
        <v>20</v>
      </c>
      <c r="T17" s="37">
        <v>4</v>
      </c>
      <c r="U17" s="37">
        <v>2</v>
      </c>
      <c r="V17" s="103">
        <f t="shared" si="1"/>
        <v>160</v>
      </c>
    </row>
    <row r="18" spans="1:22" ht="15.95" customHeight="1">
      <c r="A18" s="16"/>
      <c r="B18" s="20"/>
      <c r="C18" s="20" t="s">
        <v>0</v>
      </c>
      <c r="D18" s="20"/>
      <c r="E18" s="20"/>
      <c r="F18" s="51"/>
      <c r="G18" s="20"/>
      <c r="H18" s="20"/>
      <c r="I18" s="53">
        <v>20</v>
      </c>
      <c r="J18" s="53">
        <v>20</v>
      </c>
      <c r="M18" s="13" t="s">
        <v>144</v>
      </c>
      <c r="N18" s="4" t="s">
        <v>116</v>
      </c>
      <c r="O18" s="37">
        <v>30</v>
      </c>
      <c r="P18" s="100">
        <v>20</v>
      </c>
      <c r="R18" s="91" t="s">
        <v>89</v>
      </c>
      <c r="S18" s="44">
        <v>12</v>
      </c>
      <c r="T18" s="37">
        <v>0.5</v>
      </c>
      <c r="U18" s="37">
        <v>0</v>
      </c>
      <c r="V18" s="102">
        <f t="shared" si="1"/>
        <v>0</v>
      </c>
    </row>
    <row r="19" spans="1:22" ht="15.95" customHeight="1">
      <c r="A19" s="16"/>
      <c r="B19" s="20"/>
      <c r="C19" s="20" t="s">
        <v>14</v>
      </c>
      <c r="D19" s="20"/>
      <c r="E19" s="20"/>
      <c r="F19" s="51" t="s">
        <v>81</v>
      </c>
      <c r="G19" s="252">
        <v>2.5000000000000001E-2</v>
      </c>
      <c r="H19" s="20"/>
      <c r="I19" s="54">
        <f>G19*I7</f>
        <v>91.188900000000004</v>
      </c>
      <c r="J19" s="54">
        <f>G19*J7</f>
        <v>84.892499999999998</v>
      </c>
      <c r="M19" s="32" t="s">
        <v>35</v>
      </c>
      <c r="N19" s="89" t="s">
        <v>99</v>
      </c>
      <c r="O19" s="87">
        <v>25</v>
      </c>
      <c r="P19" s="87">
        <v>25</v>
      </c>
      <c r="R19" s="37"/>
      <c r="S19" s="44">
        <v>0</v>
      </c>
      <c r="T19" s="37">
        <v>0</v>
      </c>
      <c r="U19" s="37">
        <v>0</v>
      </c>
      <c r="V19" s="105">
        <f t="shared" si="1"/>
        <v>0</v>
      </c>
    </row>
    <row r="20" spans="1:22" ht="15.95" customHeight="1">
      <c r="A20" s="16"/>
      <c r="B20" s="20"/>
      <c r="C20" s="20" t="s">
        <v>132</v>
      </c>
      <c r="D20" s="20"/>
      <c r="E20" s="20"/>
      <c r="F20" s="51"/>
      <c r="G20" s="59"/>
      <c r="H20" s="20"/>
      <c r="I20" s="53">
        <v>20</v>
      </c>
      <c r="J20" s="53">
        <v>20</v>
      </c>
      <c r="O20" s="27"/>
      <c r="P20" s="27"/>
      <c r="R20" s="104"/>
      <c r="S20" s="32"/>
      <c r="T20" s="32"/>
      <c r="U20" s="104" t="s">
        <v>209</v>
      </c>
      <c r="V20" s="108">
        <f>SUM(V14:V19)</f>
        <v>6808.75</v>
      </c>
    </row>
    <row r="21" spans="1:22" ht="15.95" customHeight="1">
      <c r="A21" s="16"/>
      <c r="B21" s="20"/>
      <c r="C21" s="20" t="s">
        <v>23</v>
      </c>
      <c r="D21" s="20"/>
      <c r="E21" s="20"/>
      <c r="F21" s="51"/>
      <c r="G21" s="20"/>
      <c r="H21" s="20"/>
      <c r="I21" s="54">
        <f>($V$20+O19*12)/SUM(O18,P18)</f>
        <v>142.17500000000001</v>
      </c>
      <c r="J21" s="54">
        <f>($V$20+P19*12)/SUM(P18,O18)</f>
        <v>142.17500000000001</v>
      </c>
      <c r="O21" s="27"/>
      <c r="P21" s="27"/>
      <c r="Q21" s="70"/>
      <c r="U21" s="71"/>
      <c r="V21" s="71"/>
    </row>
    <row r="22" spans="1:22" ht="15.95" customHeight="1">
      <c r="A22" s="16"/>
      <c r="B22" s="120" t="s">
        <v>15</v>
      </c>
      <c r="C22" s="20" t="s">
        <v>13</v>
      </c>
      <c r="D22" s="20"/>
      <c r="E22" s="20"/>
      <c r="F22" s="51" t="s">
        <v>100</v>
      </c>
      <c r="G22" s="31">
        <v>0.02</v>
      </c>
      <c r="H22" s="20"/>
      <c r="I22" s="54">
        <f>G22*((P29+N27*R27)/2)</f>
        <v>16.100000000000001</v>
      </c>
      <c r="J22" s="54">
        <f>G22*((P29+N27*R27)/2)</f>
        <v>16.100000000000001</v>
      </c>
    </row>
    <row r="23" spans="1:22" ht="18.75">
      <c r="A23" s="16"/>
      <c r="B23" s="20"/>
      <c r="C23" s="20" t="s">
        <v>2</v>
      </c>
      <c r="D23" s="20"/>
      <c r="E23" s="20"/>
      <c r="F23" s="51"/>
      <c r="G23" s="20"/>
      <c r="H23" s="61"/>
      <c r="I23" s="53">
        <v>10</v>
      </c>
      <c r="J23" s="53">
        <v>10</v>
      </c>
      <c r="M23" s="106" t="s">
        <v>91</v>
      </c>
      <c r="N23" s="106"/>
      <c r="O23" s="106"/>
      <c r="P23" s="106"/>
      <c r="Q23" s="106"/>
      <c r="R23" s="156"/>
      <c r="S23" s="156"/>
      <c r="T23" s="106"/>
    </row>
    <row r="24" spans="1:22" ht="18" customHeight="1">
      <c r="A24" s="16"/>
      <c r="B24" s="20"/>
      <c r="C24" s="20" t="s">
        <v>328</v>
      </c>
      <c r="D24" s="20"/>
      <c r="E24" s="20"/>
      <c r="F24" s="51"/>
      <c r="G24" s="20"/>
      <c r="H24" s="61"/>
      <c r="I24" s="53">
        <v>20</v>
      </c>
      <c r="J24" s="53">
        <v>17</v>
      </c>
      <c r="M24" s="290"/>
      <c r="N24" s="290" t="s">
        <v>94</v>
      </c>
      <c r="O24" s="290" t="s">
        <v>163</v>
      </c>
      <c r="P24" s="290" t="s">
        <v>170</v>
      </c>
      <c r="Q24" s="290" t="s">
        <v>96</v>
      </c>
      <c r="R24" s="295" t="s">
        <v>6</v>
      </c>
      <c r="S24" s="290" t="s">
        <v>86</v>
      </c>
      <c r="T24" s="290" t="s">
        <v>177</v>
      </c>
    </row>
    <row r="25" spans="1:22" ht="15.95" customHeight="1">
      <c r="A25" s="23"/>
      <c r="B25" s="20"/>
      <c r="C25" s="20" t="s">
        <v>4</v>
      </c>
      <c r="D25" s="20"/>
      <c r="E25" s="20"/>
      <c r="F25" s="51"/>
      <c r="G25" s="20"/>
      <c r="H25" s="20"/>
      <c r="I25" s="53">
        <v>10</v>
      </c>
      <c r="J25" s="53">
        <v>10</v>
      </c>
      <c r="M25" s="274"/>
      <c r="N25" s="274"/>
      <c r="O25" s="274"/>
      <c r="P25" s="274"/>
      <c r="Q25" s="274"/>
      <c r="R25" s="276"/>
      <c r="S25" s="274"/>
      <c r="T25" s="274"/>
    </row>
    <row r="26" spans="1:22" ht="15.95" customHeight="1">
      <c r="A26" s="23"/>
      <c r="B26" s="20"/>
      <c r="C26" s="20" t="str">
        <f>"Operating interest"</f>
        <v>Operating interest</v>
      </c>
      <c r="D26" s="20"/>
      <c r="E26" s="20"/>
      <c r="F26" s="51"/>
      <c r="G26" s="86">
        <f>Inputs!F27</f>
        <v>7.2499999999999995E-2</v>
      </c>
      <c r="H26" s="20"/>
      <c r="I26" s="29">
        <f>(SUM(I10:I25)-I19)*Inputs!$F28*(AVERAGE($O$14:$P$14)/365)</f>
        <v>142.05636410958903</v>
      </c>
      <c r="J26" s="29">
        <f>(SUM(J10:J25)-J19)*Inputs!$F28*(AVERAGE($O$14:$P$14)/365)</f>
        <v>130.4976965753425</v>
      </c>
      <c r="M26" s="13" t="s">
        <v>92</v>
      </c>
      <c r="N26" s="44">
        <v>12500</v>
      </c>
      <c r="O26" s="45">
        <v>0.8</v>
      </c>
      <c r="P26" s="27">
        <f>N26*O26/SUM($O$18,$P$18)</f>
        <v>200</v>
      </c>
      <c r="Q26" s="37">
        <v>30</v>
      </c>
      <c r="R26" s="45">
        <v>0.25</v>
      </c>
      <c r="S26" s="27">
        <f>(N26-(R26*N26))/Q26+(N26+N26*R26)/2*(Inputs!$F$28)*O26</f>
        <v>750</v>
      </c>
      <c r="T26" s="27">
        <f>S26/SUM($O$18:$P$18)</f>
        <v>15</v>
      </c>
    </row>
    <row r="27" spans="1:22" ht="15.95" customHeight="1">
      <c r="A27" s="16"/>
      <c r="B27" s="20"/>
      <c r="C27" s="2"/>
      <c r="D27" s="2"/>
      <c r="E27" s="2"/>
      <c r="F27" s="62"/>
      <c r="G27" s="2"/>
      <c r="H27" s="55" t="s">
        <v>28</v>
      </c>
      <c r="I27" s="81">
        <f>SUM(I10:I26)</f>
        <v>3760.4951212524461</v>
      </c>
      <c r="J27" s="63">
        <f>SUM(J11:J26)</f>
        <v>3455.6391251467717</v>
      </c>
      <c r="M27" s="13" t="s">
        <v>93</v>
      </c>
      <c r="N27" s="44">
        <v>5000</v>
      </c>
      <c r="O27" s="45">
        <v>1</v>
      </c>
      <c r="P27" s="27">
        <f>N27*O27/SUM($O$18,$P$18)</f>
        <v>100</v>
      </c>
      <c r="Q27" s="37">
        <v>20</v>
      </c>
      <c r="R27" s="45">
        <v>0.25</v>
      </c>
      <c r="S27" s="27">
        <f>(N27-(R27*N27))/Q27+(N27+N27*R27)/2*(Inputs!$F$28)*O27</f>
        <v>406.25</v>
      </c>
      <c r="T27" s="27">
        <f>S27/SUM($O$18:$P$18)</f>
        <v>8.125</v>
      </c>
    </row>
    <row r="28" spans="1:22" ht="15.95" customHeight="1">
      <c r="A28" s="16"/>
      <c r="B28" s="2"/>
      <c r="C28" s="2"/>
      <c r="D28" s="2"/>
      <c r="E28" s="2"/>
      <c r="F28" s="62"/>
      <c r="G28" s="2"/>
      <c r="H28" s="2"/>
      <c r="I28" s="2"/>
      <c r="J28" s="64"/>
      <c r="M28" s="113" t="s">
        <v>145</v>
      </c>
      <c r="N28" s="87">
        <v>3000</v>
      </c>
      <c r="O28" s="45">
        <v>1</v>
      </c>
      <c r="P28" s="43">
        <f>N28*O28/SUM($O$18,$P$18)</f>
        <v>60</v>
      </c>
      <c r="Q28" s="37">
        <v>20</v>
      </c>
      <c r="R28" s="45">
        <v>0.25</v>
      </c>
      <c r="S28" s="43">
        <f>IFERROR((N28-(R28*N28))/Q28+(N28+N28*R28)/2*(Inputs!$F$28)*O28,0)</f>
        <v>243.75</v>
      </c>
      <c r="T28" s="43">
        <f>S28/SUM($O$18:$P$18)</f>
        <v>4.875</v>
      </c>
    </row>
    <row r="29" spans="1:22" ht="15.95" customHeight="1">
      <c r="A29" s="16"/>
      <c r="B29" s="18" t="s">
        <v>27</v>
      </c>
      <c r="C29" s="17"/>
      <c r="D29" s="17"/>
      <c r="E29" s="17"/>
      <c r="F29" s="18"/>
      <c r="G29" s="18"/>
      <c r="H29" s="18"/>
      <c r="I29" s="18"/>
      <c r="J29" s="180"/>
      <c r="M29" s="168" t="s">
        <v>97</v>
      </c>
      <c r="N29" s="111">
        <f>SUM(N26:N28)</f>
        <v>20500</v>
      </c>
      <c r="O29" s="111"/>
      <c r="P29" s="111">
        <f>SUM(P26:P28)</f>
        <v>360</v>
      </c>
      <c r="Q29" s="110"/>
      <c r="R29" s="110"/>
      <c r="S29" s="111">
        <f>SUM(S26:S28)</f>
        <v>1400</v>
      </c>
      <c r="T29" s="111">
        <f>SUM(T26:T28)</f>
        <v>28</v>
      </c>
    </row>
    <row r="30" spans="1:22" ht="15.95" customHeight="1">
      <c r="A30" s="16"/>
      <c r="B30" s="69"/>
      <c r="C30" s="20" t="s">
        <v>56</v>
      </c>
      <c r="D30" s="20"/>
      <c r="E30" s="20"/>
      <c r="F30" s="51" t="s">
        <v>57</v>
      </c>
      <c r="G30" s="31">
        <v>0.01</v>
      </c>
      <c r="H30" s="2"/>
      <c r="I30" s="84">
        <f>G30*I7</f>
        <v>36.475560000000002</v>
      </c>
      <c r="J30" s="54">
        <f>G30*J7</f>
        <v>33.957000000000001</v>
      </c>
      <c r="R30" s="217" t="s">
        <v>108</v>
      </c>
      <c r="S30" s="217" t="s">
        <v>332</v>
      </c>
    </row>
    <row r="31" spans="1:22" ht="15.95" customHeight="1">
      <c r="A31" s="16"/>
      <c r="B31" s="126" t="s">
        <v>16</v>
      </c>
      <c r="C31" s="20" t="s">
        <v>21</v>
      </c>
      <c r="D31" s="20"/>
      <c r="E31" s="20"/>
      <c r="F31" s="51"/>
      <c r="G31" s="20"/>
      <c r="H31" s="20"/>
      <c r="I31" s="54">
        <f>SUM(S31:S33)/SUM(O18,P18)</f>
        <v>12.25</v>
      </c>
      <c r="J31" s="65">
        <f>I31</f>
        <v>12.25</v>
      </c>
      <c r="R31" s="217">
        <f>+(N26+N26*R26)/2*(Inputs!$F$28)*O26</f>
        <v>437.5</v>
      </c>
      <c r="S31" s="222">
        <f>(N26-N26*R26)/Q26</f>
        <v>312.5</v>
      </c>
    </row>
    <row r="32" spans="1:22" ht="15.95" customHeight="1">
      <c r="A32" s="16"/>
      <c r="B32" s="126"/>
      <c r="C32" s="20" t="s">
        <v>20</v>
      </c>
      <c r="D32" s="20"/>
      <c r="E32" s="20"/>
      <c r="F32" s="51"/>
      <c r="G32" s="20"/>
      <c r="H32" s="20"/>
      <c r="I32" s="54">
        <f>SUM(R31:R33)/SUM(O18:P18)</f>
        <v>15.75</v>
      </c>
      <c r="J32" s="65">
        <f>I32</f>
        <v>15.75</v>
      </c>
      <c r="R32" s="217">
        <f>+(N27+N27*R27)/2*(Inputs!$F$28)*O27</f>
        <v>218.75000000000003</v>
      </c>
      <c r="S32" s="222">
        <f t="shared" ref="S32:S33" si="2">(N27-N27*R27)/Q27</f>
        <v>187.5</v>
      </c>
    </row>
    <row r="33" spans="1:21" ht="15.95" customHeight="1">
      <c r="A33" s="16"/>
      <c r="B33" s="20"/>
      <c r="C33" s="20" t="s">
        <v>54</v>
      </c>
      <c r="D33" s="20"/>
      <c r="E33" s="20"/>
      <c r="F33" s="51"/>
      <c r="G33" s="20"/>
      <c r="H33" s="20"/>
      <c r="I33" s="29">
        <f>P29*(Inputs!F29+Inputs!F30)</f>
        <v>3.492</v>
      </c>
      <c r="J33" s="30">
        <f>P29*(Inputs!F29+Inputs!F30)</f>
        <v>3.492</v>
      </c>
      <c r="R33" s="217">
        <f>+(N28+N28*R28)/2*(Inputs!$F$28)*O28</f>
        <v>131.25</v>
      </c>
      <c r="S33" s="222">
        <f t="shared" si="2"/>
        <v>112.5</v>
      </c>
    </row>
    <row r="34" spans="1:21" ht="15.95" customHeight="1">
      <c r="A34" s="16"/>
      <c r="B34" s="20"/>
      <c r="C34" s="20"/>
      <c r="D34" s="20"/>
      <c r="E34" s="20"/>
      <c r="F34" s="20"/>
      <c r="G34" s="20"/>
      <c r="H34" s="55" t="s">
        <v>29</v>
      </c>
      <c r="I34" s="81">
        <f>SUM(I30:I33)</f>
        <v>67.967560000000006</v>
      </c>
      <c r="J34" s="56">
        <f>SUM(J30:J33)</f>
        <v>65.448999999999998</v>
      </c>
    </row>
    <row r="35" spans="1:21" ht="15.95" customHeight="1">
      <c r="A35" s="21"/>
      <c r="B35" s="20"/>
      <c r="C35" s="20"/>
      <c r="D35" s="20"/>
      <c r="E35" s="20"/>
      <c r="F35" s="20"/>
      <c r="G35" s="20"/>
      <c r="H35" s="20"/>
      <c r="I35" s="20"/>
      <c r="J35" s="66"/>
      <c r="M35" s="50"/>
      <c r="N35" s="36"/>
      <c r="O35" s="36"/>
      <c r="P35" s="36"/>
      <c r="T35" s="27"/>
    </row>
    <row r="36" spans="1:21" ht="15.95" customHeight="1">
      <c r="A36" s="16"/>
      <c r="B36" s="69"/>
      <c r="C36" s="20"/>
      <c r="D36" s="20"/>
      <c r="E36" s="20"/>
      <c r="F36" s="20"/>
      <c r="G36" s="20"/>
      <c r="H36" s="67" t="s">
        <v>318</v>
      </c>
      <c r="I36" s="63">
        <f>I37-SUM(I32,I31,I30,I17)</f>
        <v>3719.9871212524463</v>
      </c>
      <c r="J36" s="63">
        <f>J37-SUM(J32,J31,J30,J17)</f>
        <v>3415.1311251467719</v>
      </c>
      <c r="M36" s="36"/>
      <c r="N36" s="36"/>
      <c r="O36" s="36"/>
      <c r="P36" s="36"/>
    </row>
    <row r="37" spans="1:21" ht="15.95" customHeight="1">
      <c r="A37" s="16"/>
      <c r="B37" s="14"/>
      <c r="C37" s="14"/>
      <c r="D37" s="14"/>
      <c r="E37" s="14"/>
      <c r="F37" s="14"/>
      <c r="G37" s="14"/>
      <c r="H37" s="215" t="s">
        <v>30</v>
      </c>
      <c r="I37" s="219">
        <f>I27+I34</f>
        <v>3828.4626812524461</v>
      </c>
      <c r="J37" s="216">
        <f>J27+J34</f>
        <v>3521.0881251467717</v>
      </c>
      <c r="M37" s="36"/>
      <c r="N37" s="36"/>
      <c r="O37" s="36"/>
    </row>
    <row r="38" spans="1:21" ht="15.95" customHeight="1">
      <c r="A38" s="16"/>
      <c r="B38" s="208" t="s">
        <v>264</v>
      </c>
      <c r="C38" s="153"/>
      <c r="D38" s="153"/>
      <c r="E38" s="153"/>
      <c r="F38" s="153"/>
      <c r="G38" s="153"/>
      <c r="H38" s="153"/>
      <c r="I38" s="209">
        <f>I7-I36</f>
        <v>-72.431121252446246</v>
      </c>
      <c r="J38" s="209">
        <f>J7-J36</f>
        <v>-19.431125146772047</v>
      </c>
      <c r="M38" s="36"/>
      <c r="N38" s="36"/>
      <c r="O38" s="36"/>
    </row>
    <row r="39" spans="1:21" ht="15.95" customHeight="1">
      <c r="A39" s="16"/>
      <c r="B39" s="119" t="s">
        <v>191</v>
      </c>
      <c r="C39" s="2"/>
      <c r="D39" s="2"/>
      <c r="E39" s="69"/>
      <c r="F39" s="20"/>
      <c r="G39" s="20"/>
      <c r="H39" s="20"/>
      <c r="I39" s="56">
        <f>I7-I27</f>
        <v>-112.93912125244606</v>
      </c>
      <c r="J39" s="56">
        <f>J7-J27</f>
        <v>-59.939125146771858</v>
      </c>
      <c r="M39" s="36"/>
      <c r="N39" s="36"/>
      <c r="O39" s="36"/>
      <c r="U39" s="239"/>
    </row>
    <row r="40" spans="1:21" ht="15.95" customHeight="1">
      <c r="A40" s="16"/>
      <c r="B40" s="218" t="s">
        <v>192</v>
      </c>
      <c r="C40" s="195"/>
      <c r="D40" s="195"/>
      <c r="E40" s="128"/>
      <c r="F40" s="14"/>
      <c r="G40" s="14"/>
      <c r="H40" s="14"/>
      <c r="I40" s="129">
        <f>I7-I37</f>
        <v>-180.90668125244611</v>
      </c>
      <c r="J40" s="129">
        <f>J7-J37</f>
        <v>-125.38812514677193</v>
      </c>
      <c r="M40" s="36"/>
      <c r="N40" s="36"/>
      <c r="O40" s="36"/>
      <c r="U40" s="239"/>
    </row>
    <row r="41" spans="1:21" ht="15.95" customHeight="1">
      <c r="A41" s="16"/>
      <c r="B41" s="244" t="s">
        <v>337</v>
      </c>
      <c r="C41" s="247"/>
      <c r="D41" s="247"/>
      <c r="E41" s="18"/>
      <c r="F41" s="17"/>
      <c r="G41" s="17"/>
      <c r="H41" s="17"/>
      <c r="I41" s="246">
        <f>I36/G3</f>
        <v>246.35676299685076</v>
      </c>
      <c r="J41" s="246">
        <f>J36/G4</f>
        <v>243.93793751048369</v>
      </c>
      <c r="U41" s="240"/>
    </row>
    <row r="42" spans="1:21" ht="15.95" customHeight="1">
      <c r="A42" s="16"/>
      <c r="B42" s="119"/>
      <c r="C42" s="210" t="s">
        <v>319</v>
      </c>
      <c r="D42" s="2"/>
      <c r="E42" s="69"/>
      <c r="F42" s="20"/>
      <c r="G42" s="20"/>
      <c r="H42" s="20"/>
      <c r="I42" s="56"/>
      <c r="J42" s="56"/>
      <c r="T42" s="27"/>
    </row>
    <row r="43" spans="1:21" ht="15.95" customHeight="1">
      <c r="A43" s="16"/>
      <c r="B43" s="20"/>
      <c r="C43" s="20"/>
      <c r="D43" s="20"/>
      <c r="E43" s="20"/>
      <c r="F43" s="20"/>
      <c r="G43" s="20"/>
      <c r="H43" s="20"/>
      <c r="I43" s="24"/>
    </row>
    <row r="44" spans="1:21" ht="15" customHeight="1">
      <c r="A44" s="16"/>
      <c r="B44" s="157" t="s">
        <v>345</v>
      </c>
      <c r="C44" s="173"/>
      <c r="D44" s="158"/>
      <c r="E44" s="158"/>
      <c r="F44" s="158"/>
      <c r="G44" s="158"/>
      <c r="H44" s="158"/>
      <c r="I44" s="159"/>
      <c r="J44" s="158"/>
      <c r="K44" s="107"/>
    </row>
    <row r="45" spans="1:21" ht="17.25">
      <c r="A45" s="16"/>
      <c r="B45" s="160"/>
      <c r="C45" s="298" t="s">
        <v>147</v>
      </c>
      <c r="D45" s="298"/>
      <c r="E45" s="298"/>
      <c r="F45" s="298"/>
      <c r="G45" s="298"/>
      <c r="H45" s="298"/>
      <c r="I45" s="298"/>
      <c r="J45" s="298"/>
      <c r="K45" s="298"/>
    </row>
    <row r="46" spans="1:21" ht="17.25">
      <c r="A46" s="16"/>
      <c r="B46" s="291"/>
      <c r="C46" s="303" t="s">
        <v>210</v>
      </c>
      <c r="D46" s="161"/>
      <c r="E46" s="181">
        <f>H46*0.85</f>
        <v>12.3675</v>
      </c>
      <c r="F46" s="181">
        <f>H46*0.9</f>
        <v>13.095000000000001</v>
      </c>
      <c r="G46" s="181">
        <f>H46*0.95</f>
        <v>13.8225</v>
      </c>
      <c r="H46" s="181">
        <f>AVERAGE(G3:G4)</f>
        <v>14.55</v>
      </c>
      <c r="I46" s="182">
        <f>H46*1.05</f>
        <v>15.277500000000002</v>
      </c>
      <c r="J46" s="181">
        <f>H46*1.1</f>
        <v>16.005000000000003</v>
      </c>
      <c r="K46" s="181">
        <f>H46*1.15</f>
        <v>16.732499999999998</v>
      </c>
      <c r="T46" s="27"/>
    </row>
    <row r="47" spans="1:21" ht="17.25">
      <c r="A47" s="16"/>
      <c r="B47" s="291"/>
      <c r="C47" s="303"/>
      <c r="D47" s="78">
        <f>D50*0.7</f>
        <v>171.14999999999998</v>
      </c>
      <c r="E47" s="73">
        <f t="shared" ref="E47:K53" si="3">E$46*$D47-(AVERAGE($I$36:$J$36)-SUM($I$12:$I$16)+$R$9*(E$46-AVERAGE($G$10,$G$11))-(SUM($I$26:$J$26,$I$19:$J$19)/2)+E$46*$D47*$G$19+((AVERAGE($I$36:$J$36)-(SUM($I$26:$J$26,$I$19:$J$19)/2))*$G$26*($O$14/365)))</f>
        <v>-1275.5076069905185</v>
      </c>
      <c r="F47" s="73">
        <f t="shared" si="3"/>
        <v>-1201.9646440121069</v>
      </c>
      <c r="G47" s="73">
        <f t="shared" si="3"/>
        <v>-1128.4216810336961</v>
      </c>
      <c r="H47" s="73">
        <f t="shared" si="3"/>
        <v>-1054.8787180552845</v>
      </c>
      <c r="I47" s="73">
        <f t="shared" si="3"/>
        <v>-981.33575507687283</v>
      </c>
      <c r="J47" s="73">
        <f t="shared" si="3"/>
        <v>-907.79279209846072</v>
      </c>
      <c r="K47" s="73">
        <f t="shared" si="3"/>
        <v>-834.24982912004998</v>
      </c>
    </row>
    <row r="48" spans="1:21" ht="17.25">
      <c r="B48" s="291"/>
      <c r="C48" s="303"/>
      <c r="D48" s="78">
        <f>D50*0.8</f>
        <v>195.60000000000002</v>
      </c>
      <c r="E48" s="73">
        <f t="shared" si="3"/>
        <v>-980.68186636551809</v>
      </c>
      <c r="F48" s="73">
        <f t="shared" si="3"/>
        <v>-889.79621276210628</v>
      </c>
      <c r="G48" s="73">
        <f t="shared" si="3"/>
        <v>-798.91055915869492</v>
      </c>
      <c r="H48" s="73">
        <f t="shared" si="3"/>
        <v>-708.02490555528357</v>
      </c>
      <c r="I48" s="73">
        <f t="shared" si="3"/>
        <v>-617.13925195187221</v>
      </c>
      <c r="J48" s="73">
        <f t="shared" si="3"/>
        <v>-526.2535983484604</v>
      </c>
      <c r="K48" s="73">
        <f t="shared" si="3"/>
        <v>-435.3679447450495</v>
      </c>
    </row>
    <row r="49" spans="2:11" ht="17.25">
      <c r="B49" s="291"/>
      <c r="C49" s="303"/>
      <c r="D49" s="78">
        <f>D50*0.9</f>
        <v>220.05</v>
      </c>
      <c r="E49" s="73">
        <f t="shared" si="3"/>
        <v>-685.85612574051856</v>
      </c>
      <c r="F49" s="73">
        <f t="shared" si="3"/>
        <v>-577.62778151210659</v>
      </c>
      <c r="G49" s="73">
        <f t="shared" si="3"/>
        <v>-469.39943728369553</v>
      </c>
      <c r="H49" s="73">
        <f t="shared" si="3"/>
        <v>-361.17109305528356</v>
      </c>
      <c r="I49" s="73">
        <f t="shared" si="3"/>
        <v>-252.94274882687205</v>
      </c>
      <c r="J49" s="73">
        <f t="shared" si="3"/>
        <v>-144.71440459846053</v>
      </c>
      <c r="K49" s="73">
        <f t="shared" si="3"/>
        <v>-36.486060370049472</v>
      </c>
    </row>
    <row r="50" spans="2:11" ht="17.25">
      <c r="B50" s="291"/>
      <c r="C50" s="303"/>
      <c r="D50" s="79">
        <f>AVERAGE(H3,H4)</f>
        <v>244.5</v>
      </c>
      <c r="E50" s="73">
        <f t="shared" si="3"/>
        <v>-391.03038511551858</v>
      </c>
      <c r="F50" s="73">
        <f t="shared" si="3"/>
        <v>-265.45935026210691</v>
      </c>
      <c r="G50" s="73">
        <f t="shared" si="3"/>
        <v>-139.88831540869523</v>
      </c>
      <c r="H50" s="77">
        <f t="shared" si="3"/>
        <v>-14.31728055528356</v>
      </c>
      <c r="I50" s="85">
        <f t="shared" si="3"/>
        <v>111.25375429812811</v>
      </c>
      <c r="J50" s="73">
        <f t="shared" si="3"/>
        <v>236.82478915153979</v>
      </c>
      <c r="K50" s="73">
        <f t="shared" si="3"/>
        <v>362.39582400495055</v>
      </c>
    </row>
    <row r="51" spans="2:11" ht="17.25">
      <c r="B51" s="291"/>
      <c r="C51" s="303"/>
      <c r="D51" s="78">
        <f>D50*1.1</f>
        <v>268.95000000000005</v>
      </c>
      <c r="E51" s="73">
        <f t="shared" si="3"/>
        <v>-96.204644490517694</v>
      </c>
      <c r="F51" s="73">
        <f t="shared" si="3"/>
        <v>46.709080987893685</v>
      </c>
      <c r="G51" s="73">
        <f t="shared" si="3"/>
        <v>189.62280646630506</v>
      </c>
      <c r="H51" s="73">
        <f t="shared" si="3"/>
        <v>332.5365319447169</v>
      </c>
      <c r="I51" s="73">
        <f t="shared" si="3"/>
        <v>475.45025742312873</v>
      </c>
      <c r="J51" s="73">
        <f t="shared" si="3"/>
        <v>618.36398290154057</v>
      </c>
      <c r="K51" s="73">
        <f t="shared" si="3"/>
        <v>761.27770837995149</v>
      </c>
    </row>
    <row r="52" spans="2:11" ht="17.25">
      <c r="B52" s="291"/>
      <c r="C52" s="303"/>
      <c r="D52" s="78">
        <f>D50*1.2</f>
        <v>293.39999999999998</v>
      </c>
      <c r="E52" s="73">
        <f t="shared" si="3"/>
        <v>198.62109613448092</v>
      </c>
      <c r="F52" s="73">
        <f t="shared" si="3"/>
        <v>358.87751223789292</v>
      </c>
      <c r="G52" s="73">
        <f t="shared" si="3"/>
        <v>519.13392834130445</v>
      </c>
      <c r="H52" s="73">
        <f t="shared" si="3"/>
        <v>679.39034444471599</v>
      </c>
      <c r="I52" s="73">
        <f t="shared" si="3"/>
        <v>839.64676054812708</v>
      </c>
      <c r="J52" s="73">
        <f t="shared" si="3"/>
        <v>999.90317665153907</v>
      </c>
      <c r="K52" s="73">
        <f t="shared" si="3"/>
        <v>1160.1595927549497</v>
      </c>
    </row>
    <row r="53" spans="2:11" ht="17.25">
      <c r="B53" s="292"/>
      <c r="C53" s="304"/>
      <c r="D53" s="163">
        <f>D50*1.3</f>
        <v>317.85000000000002</v>
      </c>
      <c r="E53" s="73">
        <f t="shared" si="3"/>
        <v>493.44683675948181</v>
      </c>
      <c r="F53" s="73">
        <f t="shared" si="3"/>
        <v>671.04594348789396</v>
      </c>
      <c r="G53" s="73">
        <f t="shared" si="3"/>
        <v>848.64505021630475</v>
      </c>
      <c r="H53" s="73">
        <f t="shared" si="3"/>
        <v>1026.2441569447165</v>
      </c>
      <c r="I53" s="73">
        <f t="shared" si="3"/>
        <v>1203.8432636731281</v>
      </c>
      <c r="J53" s="73">
        <f t="shared" si="3"/>
        <v>1381.4423704015398</v>
      </c>
      <c r="K53" s="73">
        <f t="shared" si="3"/>
        <v>1559.0414771299506</v>
      </c>
    </row>
    <row r="54" spans="2:11" ht="16.5">
      <c r="B54" s="74"/>
      <c r="C54" s="76"/>
      <c r="D54" s="76"/>
      <c r="E54" s="75"/>
      <c r="F54" s="75"/>
      <c r="G54" s="75"/>
      <c r="H54" s="75"/>
      <c r="I54" s="75"/>
      <c r="J54" s="75"/>
      <c r="K54" s="75"/>
    </row>
    <row r="55" spans="2:11" ht="16.5">
      <c r="B55" s="75"/>
      <c r="G55" s="75"/>
      <c r="H55" s="75"/>
      <c r="I55" s="75"/>
      <c r="J55" s="75"/>
      <c r="K55" s="75"/>
    </row>
    <row r="56" spans="2:11" ht="16.5">
      <c r="B56" s="75"/>
      <c r="I56" s="75"/>
      <c r="J56" s="75"/>
      <c r="K56" s="75"/>
    </row>
    <row r="57" spans="2:11" ht="16.5">
      <c r="B57" s="75"/>
      <c r="K57" s="75"/>
    </row>
  </sheetData>
  <sheetProtection sheet="1" objects="1" scenarios="1"/>
  <protectedRanges>
    <protectedRange sqref="G3:H4 I6:J6 G10:H11 G17 G19 G22 I18:J18 I20:J20 I23:J25 G30 M3:N7 O14:P14 O16:P19 R14:U19 N26:O28 M28 Q26:R28" name="Grey cells"/>
  </protectedRanges>
  <mergeCells count="20">
    <mergeCell ref="V12:V13"/>
    <mergeCell ref="M24:M25"/>
    <mergeCell ref="N24:N25"/>
    <mergeCell ref="O24:O25"/>
    <mergeCell ref="P24:P25"/>
    <mergeCell ref="Q24:Q25"/>
    <mergeCell ref="R24:R25"/>
    <mergeCell ref="S24:S25"/>
    <mergeCell ref="T24:T25"/>
    <mergeCell ref="M12:M13"/>
    <mergeCell ref="N12:N13"/>
    <mergeCell ref="O12:O13"/>
    <mergeCell ref="P12:P13"/>
    <mergeCell ref="R12:R13"/>
    <mergeCell ref="S12:S13"/>
    <mergeCell ref="B46:B53"/>
    <mergeCell ref="C46:C53"/>
    <mergeCell ref="C45:K45"/>
    <mergeCell ref="T12:T13"/>
    <mergeCell ref="U12:U13"/>
  </mergeCells>
  <pageMargins left="0.75" right="0.75" top="1" bottom="1" header="0.5" footer="0.5"/>
  <pageSetup scale="67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6283997-4F90-4995-98A7-B83060CBFD76}">
          <x14:formula1>
            <xm:f>Inputs!B$10:B$21</xm:f>
          </x14:formula1>
          <xm:sqref>M3:M7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 codeName="Sheet5">
    <pageSetUpPr fitToPage="1"/>
  </sheetPr>
  <dimension ref="A1:XFA39"/>
  <sheetViews>
    <sheetView showGridLines="0" workbookViewId="0">
      <selection activeCell="G19" sqref="G19"/>
    </sheetView>
  </sheetViews>
  <sheetFormatPr defaultColWidth="0" defaultRowHeight="15.75" zeroHeight="1"/>
  <cols>
    <col min="1" max="1" width="3.33203125" style="2" customWidth="1"/>
    <col min="2" max="2" width="37.6640625" style="2" customWidth="1"/>
    <col min="3" max="3" width="8.109375" style="2" bestFit="1" customWidth="1"/>
    <col min="4" max="5" width="16.44140625" style="2" customWidth="1"/>
    <col min="6" max="6" width="12" style="2" bestFit="1" customWidth="1"/>
    <col min="7" max="7" width="3.33203125" style="2" customWidth="1"/>
    <col min="8" max="16380" width="8.88671875" style="2" hidden="1"/>
    <col min="16381" max="16384" width="26.109375" style="2" hidden="1"/>
  </cols>
  <sheetData>
    <row r="1" spans="2:13 16381:16381" ht="20.100000000000001" customHeight="1">
      <c r="B1" s="99" t="s">
        <v>165</v>
      </c>
      <c r="C1" s="10" t="s">
        <v>38</v>
      </c>
      <c r="D1" s="10" t="s">
        <v>153</v>
      </c>
      <c r="E1" s="10" t="s">
        <v>154</v>
      </c>
      <c r="F1" s="11" t="s">
        <v>37</v>
      </c>
    </row>
    <row r="2" spans="2:13 16381:16381" ht="20.100000000000001" customHeight="1">
      <c r="B2" s="265" t="s">
        <v>3</v>
      </c>
      <c r="C2" s="266"/>
      <c r="D2" s="266"/>
      <c r="E2" s="266"/>
      <c r="F2" s="267"/>
    </row>
    <row r="3" spans="2:13 16381:16381">
      <c r="B3" s="3" t="s">
        <v>296</v>
      </c>
      <c r="C3" s="213" t="s">
        <v>297</v>
      </c>
      <c r="D3" s="97"/>
      <c r="E3" s="93"/>
      <c r="F3" s="12">
        <v>50</v>
      </c>
    </row>
    <row r="4" spans="2:13 16381:16381">
      <c r="B4" s="3" t="s">
        <v>326</v>
      </c>
      <c r="C4" s="213" t="s">
        <v>297</v>
      </c>
      <c r="D4" s="97"/>
      <c r="E4" s="94"/>
      <c r="F4" s="12">
        <v>5</v>
      </c>
      <c r="XFA4" s="5"/>
    </row>
    <row r="5" spans="2:13 16381:16381">
      <c r="B5" s="3" t="s">
        <v>325</v>
      </c>
      <c r="C5" s="213" t="s">
        <v>224</v>
      </c>
      <c r="D5" s="97"/>
      <c r="E5" s="94"/>
      <c r="F5" s="12">
        <v>15</v>
      </c>
      <c r="XFA5" s="5"/>
    </row>
    <row r="6" spans="2:13 16381:16381">
      <c r="B6" s="3" t="s">
        <v>300</v>
      </c>
      <c r="C6" s="4" t="s">
        <v>301</v>
      </c>
      <c r="D6" s="97"/>
      <c r="E6" s="94"/>
      <c r="F6" s="214">
        <v>30</v>
      </c>
      <c r="XFA6" s="5"/>
    </row>
    <row r="7" spans="2:13 16381:16381">
      <c r="B7" s="3" t="s">
        <v>299</v>
      </c>
      <c r="C7" s="4" t="s">
        <v>301</v>
      </c>
      <c r="D7" s="97"/>
      <c r="E7" s="94"/>
      <c r="F7" s="214">
        <v>10</v>
      </c>
      <c r="XFA7" s="5"/>
    </row>
    <row r="8" spans="2:13 16381:16381">
      <c r="B8" s="3" t="s">
        <v>298</v>
      </c>
      <c r="C8" s="4" t="s">
        <v>301</v>
      </c>
      <c r="D8" s="97"/>
      <c r="E8" s="94"/>
      <c r="F8" s="214">
        <v>20</v>
      </c>
      <c r="XFA8" s="5"/>
    </row>
    <row r="9" spans="2:13 16381:16381">
      <c r="B9" s="235" t="s">
        <v>155</v>
      </c>
      <c r="C9" s="236"/>
      <c r="D9" s="238" t="s">
        <v>153</v>
      </c>
      <c r="E9" s="238" t="s">
        <v>154</v>
      </c>
      <c r="F9" s="237"/>
      <c r="M9" s="6"/>
      <c r="XFA9" s="5"/>
    </row>
    <row r="10" spans="2:13 16381:16381" hidden="1">
      <c r="B10" s="224" t="s">
        <v>39</v>
      </c>
      <c r="C10" s="91" t="s">
        <v>180</v>
      </c>
      <c r="D10" s="98">
        <v>2000</v>
      </c>
      <c r="E10" s="95">
        <v>0.85</v>
      </c>
      <c r="F10" s="12">
        <v>65</v>
      </c>
      <c r="XFA10" s="5"/>
    </row>
    <row r="11" spans="2:13 16381:16381">
      <c r="B11" s="224" t="s">
        <v>22</v>
      </c>
      <c r="C11" s="91" t="s">
        <v>180</v>
      </c>
      <c r="D11" s="98">
        <v>2000</v>
      </c>
      <c r="E11" s="95">
        <v>0.85</v>
      </c>
      <c r="F11" s="12">
        <v>90</v>
      </c>
      <c r="XFA11" s="5"/>
    </row>
    <row r="12" spans="2:13 16381:16381">
      <c r="B12" s="224" t="s">
        <v>333</v>
      </c>
      <c r="C12" s="91" t="s">
        <v>180</v>
      </c>
      <c r="D12" s="98">
        <v>2000</v>
      </c>
      <c r="E12" s="95">
        <v>0.85</v>
      </c>
      <c r="F12" s="12">
        <v>150</v>
      </c>
      <c r="XFA12" s="5"/>
    </row>
    <row r="13" spans="2:13 16381:16381">
      <c r="B13" s="224" t="s">
        <v>40</v>
      </c>
      <c r="C13" s="91" t="s">
        <v>180</v>
      </c>
      <c r="D13" s="98">
        <v>2000</v>
      </c>
      <c r="E13" s="95">
        <v>0.4</v>
      </c>
      <c r="F13" s="12">
        <v>42</v>
      </c>
      <c r="XFA13" s="5"/>
    </row>
    <row r="14" spans="2:13 16381:16381">
      <c r="B14" s="224" t="s">
        <v>353</v>
      </c>
      <c r="C14" s="91" t="s">
        <v>181</v>
      </c>
      <c r="D14" s="98">
        <v>56</v>
      </c>
      <c r="E14" s="95">
        <v>0.85</v>
      </c>
      <c r="F14" s="12">
        <v>5.25</v>
      </c>
      <c r="XFA14" s="5"/>
    </row>
    <row r="15" spans="2:13 16381:16381">
      <c r="B15" s="224" t="s">
        <v>344</v>
      </c>
      <c r="C15" s="91" t="s">
        <v>181</v>
      </c>
      <c r="D15" s="98">
        <v>56</v>
      </c>
      <c r="E15" s="95">
        <v>0.85</v>
      </c>
      <c r="F15" s="12">
        <v>4.2300000000000004</v>
      </c>
      <c r="XFA15" s="5"/>
    </row>
    <row r="16" spans="2:13 16381:16381">
      <c r="B16" s="224" t="s">
        <v>41</v>
      </c>
      <c r="C16" s="91" t="s">
        <v>180</v>
      </c>
      <c r="D16" s="98">
        <v>2000</v>
      </c>
      <c r="E16" s="95">
        <v>0.88</v>
      </c>
      <c r="F16" s="12">
        <v>175</v>
      </c>
      <c r="XFA16" s="5"/>
    </row>
    <row r="17" spans="2:6 16381:16381">
      <c r="B17" s="224" t="s">
        <v>331</v>
      </c>
      <c r="C17" s="91" t="s">
        <v>180</v>
      </c>
      <c r="D17" s="98">
        <v>2000</v>
      </c>
      <c r="E17" s="95">
        <v>0.9</v>
      </c>
      <c r="F17" s="12">
        <v>340</v>
      </c>
      <c r="XFA17" s="5"/>
    </row>
    <row r="18" spans="2:6 16381:16381">
      <c r="B18" s="224" t="s">
        <v>334</v>
      </c>
      <c r="C18" s="91" t="s">
        <v>180</v>
      </c>
      <c r="D18" s="98">
        <v>2000</v>
      </c>
      <c r="E18" s="95">
        <v>0.92</v>
      </c>
      <c r="F18" s="12">
        <v>315</v>
      </c>
      <c r="XFA18" s="5"/>
    </row>
    <row r="19" spans="2:6 16381:16381">
      <c r="B19" s="92" t="s">
        <v>164</v>
      </c>
      <c r="C19" s="91"/>
      <c r="D19" s="98">
        <v>0</v>
      </c>
      <c r="E19" s="95">
        <v>0</v>
      </c>
      <c r="F19" s="12">
        <v>0</v>
      </c>
      <c r="XFA19" s="5"/>
    </row>
    <row r="20" spans="2:6 16381:16381">
      <c r="B20" s="224" t="s">
        <v>36</v>
      </c>
      <c r="C20" s="91" t="s">
        <v>354</v>
      </c>
      <c r="D20" s="98">
        <v>1</v>
      </c>
      <c r="E20" s="95">
        <v>0.98</v>
      </c>
      <c r="F20" s="12">
        <v>0.6</v>
      </c>
      <c r="XFA20" s="5"/>
    </row>
    <row r="21" spans="2:6 16381:16381">
      <c r="B21" s="225" t="s">
        <v>42</v>
      </c>
      <c r="C21" s="226" t="s">
        <v>182</v>
      </c>
      <c r="D21" s="227">
        <v>100</v>
      </c>
      <c r="E21" s="228">
        <v>0.98</v>
      </c>
      <c r="F21" s="90">
        <v>13</v>
      </c>
      <c r="XFA21" s="5"/>
    </row>
    <row r="22" spans="2:6 16381:16381">
      <c r="B22" s="262" t="s">
        <v>156</v>
      </c>
      <c r="C22" s="263"/>
      <c r="D22" s="263"/>
      <c r="E22" s="263"/>
      <c r="F22" s="264"/>
      <c r="XFA22" s="5"/>
    </row>
    <row r="23" spans="2:6 16381:16381">
      <c r="B23" s="3" t="s">
        <v>12</v>
      </c>
      <c r="C23" s="213" t="s">
        <v>338</v>
      </c>
      <c r="F23" s="12">
        <v>22</v>
      </c>
      <c r="XFA23" s="5"/>
    </row>
    <row r="24" spans="2:6 16381:16381">
      <c r="B24" s="3" t="s">
        <v>246</v>
      </c>
      <c r="C24" s="213" t="s">
        <v>339</v>
      </c>
      <c r="F24" s="12">
        <v>0.7</v>
      </c>
      <c r="XFA24" s="5"/>
    </row>
    <row r="25" spans="2:6 16381:16381">
      <c r="B25" s="3" t="s">
        <v>247</v>
      </c>
      <c r="C25" s="213" t="s">
        <v>340</v>
      </c>
      <c r="F25" s="12">
        <v>0.73</v>
      </c>
      <c r="XFA25" s="5"/>
    </row>
    <row r="26" spans="2:6 16381:16381">
      <c r="B26" s="3" t="s">
        <v>248</v>
      </c>
      <c r="C26" s="213" t="s">
        <v>341</v>
      </c>
      <c r="F26" s="12">
        <v>0.42</v>
      </c>
    </row>
    <row r="27" spans="2:6 16381:16381">
      <c r="B27" s="3" t="s">
        <v>43</v>
      </c>
      <c r="C27" s="4" t="s">
        <v>183</v>
      </c>
      <c r="F27" s="7">
        <v>7.2499999999999995E-2</v>
      </c>
    </row>
    <row r="28" spans="2:6 16381:16381">
      <c r="B28" s="3" t="s">
        <v>44</v>
      </c>
      <c r="C28" s="4" t="s">
        <v>183</v>
      </c>
      <c r="F28" s="7">
        <v>7.0000000000000007E-2</v>
      </c>
    </row>
    <row r="29" spans="2:6 16381:16381">
      <c r="B29" s="3" t="s">
        <v>7</v>
      </c>
      <c r="C29" s="4" t="s">
        <v>183</v>
      </c>
      <c r="F29" s="7">
        <v>7.1999999999999998E-3</v>
      </c>
    </row>
    <row r="30" spans="2:6 16381:16381">
      <c r="B30" s="3" t="s">
        <v>8</v>
      </c>
      <c r="C30" s="4" t="s">
        <v>183</v>
      </c>
      <c r="F30" s="7">
        <v>2.5000000000000001E-3</v>
      </c>
    </row>
    <row r="31" spans="2:6 16381:16381" ht="16.5" thickBot="1">
      <c r="B31" s="8" t="s">
        <v>9</v>
      </c>
      <c r="C31" s="9" t="s">
        <v>183</v>
      </c>
      <c r="D31" s="96"/>
      <c r="E31" s="96"/>
      <c r="F31" s="243">
        <v>0.01</v>
      </c>
    </row>
    <row r="32" spans="2:6 16381:16381"/>
    <row r="33"/>
    <row r="34"/>
    <row r="35"/>
    <row r="36"/>
    <row r="37"/>
    <row r="39"/>
  </sheetData>
  <sheetProtection sheet="1" objects="1" scenarios="1"/>
  <protectedRanges>
    <protectedRange sqref="F3:F8 B10:F21 F23:F31" name="Grey cells"/>
  </protectedRanges>
  <mergeCells count="2">
    <mergeCell ref="B22:F22"/>
    <mergeCell ref="B2:F2"/>
  </mergeCells>
  <phoneticPr fontId="0" type="noConversion"/>
  <dataValidations disablePrompts="1" count="1">
    <dataValidation allowBlank="1" showInputMessage="1" showErrorMessage="1" prompt="Grazing system management includes costs of fence maintenance, water management, and any costs associated with rotational grazing." sqref="F4" xr:uid="{36BEA04B-61B5-44C6-A9BF-0E434021B8C0}"/>
  </dataValidations>
  <pageMargins left="0.5" right="0.5" top="0.5" bottom="0.2" header="0" footer="0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BB89-CFB8-48DD-8233-82BC3DA20D0B}">
  <sheetPr>
    <pageSetUpPr fitToPage="1"/>
  </sheetPr>
  <dimension ref="B1:Y41"/>
  <sheetViews>
    <sheetView workbookViewId="0">
      <selection activeCell="E9" sqref="E9"/>
    </sheetView>
  </sheetViews>
  <sheetFormatPr defaultRowHeight="15.75"/>
  <cols>
    <col min="1" max="1" width="3.33203125" style="2" customWidth="1"/>
    <col min="2" max="2" width="21" style="2" customWidth="1"/>
    <col min="3" max="3" width="16.77734375" style="2" customWidth="1"/>
    <col min="4" max="4" width="10.109375" style="2" customWidth="1"/>
    <col min="5" max="5" width="8.88671875" style="2"/>
    <col min="6" max="6" width="11.5546875" style="2" customWidth="1"/>
    <col min="7" max="7" width="20.6640625" style="2" customWidth="1"/>
    <col min="8" max="8" width="11.77734375" style="2" customWidth="1"/>
    <col min="9" max="16" width="7.6640625" style="2" bestFit="1" customWidth="1"/>
    <col min="17" max="17" width="9.109375" style="2" bestFit="1" customWidth="1"/>
    <col min="18" max="18" width="7.6640625" style="2" bestFit="1" customWidth="1"/>
    <col min="19" max="20" width="8.6640625" style="2" bestFit="1" customWidth="1"/>
    <col min="21" max="23" width="8.88671875" style="2"/>
    <col min="24" max="25" width="10.88671875" style="2" bestFit="1" customWidth="1"/>
    <col min="26" max="16384" width="8.88671875" style="2"/>
  </cols>
  <sheetData>
    <row r="1" spans="2:25" ht="18.75">
      <c r="B1" s="106" t="s">
        <v>238</v>
      </c>
      <c r="C1" s="106"/>
      <c r="D1" s="106"/>
      <c r="G1" s="106" t="s">
        <v>262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2:25">
      <c r="B2" s="2" t="s">
        <v>214</v>
      </c>
      <c r="C2" s="4" t="s">
        <v>215</v>
      </c>
      <c r="D2" s="200" t="e">
        <f>VLOOKUP(Inputs!#REF!,'Pasture cost calculator (hide)'!B37:C41,2,FALSE)</f>
        <v>#REF!</v>
      </c>
      <c r="G2" s="197" t="s">
        <v>82</v>
      </c>
      <c r="H2" s="197" t="s">
        <v>38</v>
      </c>
      <c r="I2" s="197" t="s">
        <v>249</v>
      </c>
      <c r="J2" s="197" t="s">
        <v>250</v>
      </c>
      <c r="K2" s="197" t="s">
        <v>251</v>
      </c>
      <c r="L2" s="197" t="s">
        <v>252</v>
      </c>
      <c r="M2" s="197" t="s">
        <v>211</v>
      </c>
      <c r="N2" s="197" t="s">
        <v>253</v>
      </c>
      <c r="O2" s="197" t="s">
        <v>254</v>
      </c>
      <c r="P2" s="197" t="s">
        <v>255</v>
      </c>
      <c r="Q2" s="197" t="s">
        <v>256</v>
      </c>
      <c r="R2" s="197" t="s">
        <v>257</v>
      </c>
      <c r="S2" s="197" t="s">
        <v>258</v>
      </c>
      <c r="T2" s="197" t="s">
        <v>259</v>
      </c>
      <c r="V2" s="2" t="s">
        <v>212</v>
      </c>
      <c r="X2" s="2" t="s">
        <v>213</v>
      </c>
    </row>
    <row r="3" spans="2:25" ht="31.5" customHeight="1">
      <c r="B3" s="2" t="s">
        <v>220</v>
      </c>
      <c r="C3" s="4" t="s">
        <v>222</v>
      </c>
      <c r="D3" s="201" t="e">
        <f>VLOOKUP(Inputs!#REF!,'Pasture cost calculator (hide)'!B32:C35,2,FALSE)</f>
        <v>#REF!</v>
      </c>
      <c r="F3" s="193" t="s">
        <v>216</v>
      </c>
      <c r="G3" s="204" t="s">
        <v>261</v>
      </c>
      <c r="H3" s="205" t="s">
        <v>263</v>
      </c>
      <c r="I3" s="189">
        <v>0</v>
      </c>
      <c r="J3" s="189">
        <v>0</v>
      </c>
      <c r="K3" s="189">
        <v>0</v>
      </c>
      <c r="L3" s="189">
        <v>0.03</v>
      </c>
      <c r="M3" s="189">
        <v>0.15</v>
      </c>
      <c r="N3" s="189">
        <v>0.22</v>
      </c>
      <c r="O3" s="189">
        <v>0.22</v>
      </c>
      <c r="P3" s="189">
        <v>0.2</v>
      </c>
      <c r="Q3" s="189">
        <v>0.13</v>
      </c>
      <c r="R3" s="189">
        <v>0.05</v>
      </c>
      <c r="S3" s="189">
        <v>0</v>
      </c>
      <c r="T3" s="189">
        <v>0</v>
      </c>
      <c r="U3" s="2">
        <f>SUM(I3:T3)</f>
        <v>1</v>
      </c>
      <c r="V3" s="2">
        <f>COUNTIF(I3:T3,0)</f>
        <v>5</v>
      </c>
      <c r="X3" s="2" t="s">
        <v>217</v>
      </c>
      <c r="Y3" s="2" t="s">
        <v>213</v>
      </c>
    </row>
    <row r="4" spans="2:25">
      <c r="B4" s="2" t="s">
        <v>223</v>
      </c>
      <c r="C4" s="4" t="s">
        <v>224</v>
      </c>
      <c r="D4" s="201">
        <v>40</v>
      </c>
      <c r="F4" s="193" t="s">
        <v>218</v>
      </c>
      <c r="G4" s="204" t="s">
        <v>287</v>
      </c>
      <c r="H4" s="205" t="s">
        <v>288</v>
      </c>
      <c r="I4" s="194" t="e">
        <f>I3*$D$8</f>
        <v>#REF!</v>
      </c>
      <c r="J4" s="194" t="e">
        <f t="shared" ref="J4:T4" si="0">J3*$D$8</f>
        <v>#REF!</v>
      </c>
      <c r="K4" s="194" t="e">
        <f t="shared" si="0"/>
        <v>#REF!</v>
      </c>
      <c r="L4" s="194" t="e">
        <f t="shared" si="0"/>
        <v>#REF!</v>
      </c>
      <c r="M4" s="194" t="e">
        <f t="shared" si="0"/>
        <v>#REF!</v>
      </c>
      <c r="N4" s="194" t="e">
        <f t="shared" si="0"/>
        <v>#REF!</v>
      </c>
      <c r="O4" s="194" t="e">
        <f t="shared" si="0"/>
        <v>#REF!</v>
      </c>
      <c r="P4" s="194" t="e">
        <f t="shared" si="0"/>
        <v>#REF!</v>
      </c>
      <c r="Q4" s="194" t="e">
        <f t="shared" si="0"/>
        <v>#REF!</v>
      </c>
      <c r="R4" s="194" t="e">
        <f t="shared" si="0"/>
        <v>#REF!</v>
      </c>
      <c r="S4" s="194" t="e">
        <f t="shared" si="0"/>
        <v>#REF!</v>
      </c>
      <c r="T4" s="194" t="e">
        <f t="shared" si="0"/>
        <v>#REF!</v>
      </c>
      <c r="X4" s="186" t="s">
        <v>219</v>
      </c>
      <c r="Y4" s="95">
        <v>0.9</v>
      </c>
    </row>
    <row r="5" spans="2:25">
      <c r="B5" s="2" t="s">
        <v>225</v>
      </c>
      <c r="C5" s="4" t="s">
        <v>183</v>
      </c>
      <c r="D5" s="202" t="e">
        <f>VLOOKUP(D3,X4:Y8,2,FALSE)</f>
        <v>#REF!</v>
      </c>
      <c r="G5" s="206" t="s">
        <v>260</v>
      </c>
      <c r="H5" s="207" t="s">
        <v>289</v>
      </c>
      <c r="I5" s="196">
        <f>IFERROR(IF(780*$C$23/(I4+J4+T4)&lt;$C$25,780*$C$23/(I4+J4+T4),$C$25),$C$25)</f>
        <v>1.6875</v>
      </c>
      <c r="J5" s="196">
        <f>IFERROR(IF(780*$C$23/(J4+K4+I4)&lt;$C$25,780*$C$23/(J4+K4+I4),$C$25),$C$25)</f>
        <v>1.6875</v>
      </c>
      <c r="K5" s="196">
        <f t="shared" ref="K5:T5" si="1">IFERROR(IF(780*$C$23/(K4+I4+J4)&lt;$C$25,780*$C$23/(K4+I4+J4),$C$25),$C$25)</f>
        <v>1.6875</v>
      </c>
      <c r="L5" s="196">
        <f t="shared" si="1"/>
        <v>1.6875</v>
      </c>
      <c r="M5" s="196">
        <f t="shared" si="1"/>
        <v>1.6875</v>
      </c>
      <c r="N5" s="196">
        <f t="shared" si="1"/>
        <v>1.6875</v>
      </c>
      <c r="O5" s="196">
        <f t="shared" si="1"/>
        <v>1.6875</v>
      </c>
      <c r="P5" s="196">
        <f t="shared" si="1"/>
        <v>1.6875</v>
      </c>
      <c r="Q5" s="196">
        <f t="shared" si="1"/>
        <v>1.6875</v>
      </c>
      <c r="R5" s="196">
        <f t="shared" si="1"/>
        <v>1.6875</v>
      </c>
      <c r="S5" s="196">
        <f t="shared" si="1"/>
        <v>1.6875</v>
      </c>
      <c r="T5" s="196">
        <f t="shared" si="1"/>
        <v>1.6875</v>
      </c>
      <c r="U5" s="188">
        <f>AVERAGE(I5:T5)</f>
        <v>1.6875</v>
      </c>
      <c r="X5" s="2" t="s">
        <v>312</v>
      </c>
      <c r="Y5" s="95">
        <v>0.65</v>
      </c>
    </row>
    <row r="6" spans="2:25" ht="33.75" customHeight="1">
      <c r="B6" s="2" t="s">
        <v>226</v>
      </c>
      <c r="C6" s="4" t="s">
        <v>70</v>
      </c>
      <c r="D6" s="2" t="e">
        <f>D2*2000*D5</f>
        <v>#REF!</v>
      </c>
      <c r="G6" s="204" t="s">
        <v>294</v>
      </c>
      <c r="H6" s="205" t="s">
        <v>263</v>
      </c>
      <c r="I6" s="189">
        <v>0</v>
      </c>
      <c r="J6" s="189">
        <v>0.02</v>
      </c>
      <c r="K6" s="189">
        <v>0.1</v>
      </c>
      <c r="L6" s="189">
        <v>0.17</v>
      </c>
      <c r="M6" s="189">
        <v>0.22</v>
      </c>
      <c r="N6" s="189">
        <v>0.14000000000000001</v>
      </c>
      <c r="O6" s="189">
        <v>0.03</v>
      </c>
      <c r="P6" s="189">
        <v>0.03</v>
      </c>
      <c r="Q6" s="189">
        <v>0.12</v>
      </c>
      <c r="R6" s="189">
        <v>0.12</v>
      </c>
      <c r="S6" s="189">
        <v>0.05</v>
      </c>
      <c r="T6" s="189">
        <v>0</v>
      </c>
      <c r="U6" s="94">
        <f>SUM(I6:T6)</f>
        <v>1</v>
      </c>
      <c r="V6" s="2">
        <f>COUNTIF(I6:T6,0)</f>
        <v>2</v>
      </c>
      <c r="X6" s="2" t="s">
        <v>306</v>
      </c>
      <c r="Y6" s="95">
        <v>0.6</v>
      </c>
    </row>
    <row r="7" spans="2:25">
      <c r="B7" s="2" t="s">
        <v>228</v>
      </c>
      <c r="C7" s="4"/>
      <c r="D7" s="194" t="e">
        <f>D6/780</f>
        <v>#REF!</v>
      </c>
      <c r="G7" s="204" t="s">
        <v>287</v>
      </c>
      <c r="H7" s="205" t="s">
        <v>288</v>
      </c>
      <c r="I7" s="194" t="e">
        <f>I6*$D$8</f>
        <v>#REF!</v>
      </c>
      <c r="J7" s="194" t="e">
        <f t="shared" ref="J7:T7" si="2">J6*$D$8</f>
        <v>#REF!</v>
      </c>
      <c r="K7" s="194" t="e">
        <f t="shared" si="2"/>
        <v>#REF!</v>
      </c>
      <c r="L7" s="194" t="e">
        <f t="shared" si="2"/>
        <v>#REF!</v>
      </c>
      <c r="M7" s="194" t="e">
        <f t="shared" si="2"/>
        <v>#REF!</v>
      </c>
      <c r="N7" s="194" t="e">
        <f t="shared" si="2"/>
        <v>#REF!</v>
      </c>
      <c r="O7" s="194" t="e">
        <f t="shared" si="2"/>
        <v>#REF!</v>
      </c>
      <c r="P7" s="194" t="e">
        <f t="shared" si="2"/>
        <v>#REF!</v>
      </c>
      <c r="Q7" s="194" t="e">
        <f t="shared" si="2"/>
        <v>#REF!</v>
      </c>
      <c r="R7" s="194" t="e">
        <f t="shared" si="2"/>
        <v>#REF!</v>
      </c>
      <c r="S7" s="194" t="e">
        <f t="shared" si="2"/>
        <v>#REF!</v>
      </c>
      <c r="T7" s="194" t="e">
        <f t="shared" si="2"/>
        <v>#REF!</v>
      </c>
      <c r="X7" s="2" t="s">
        <v>221</v>
      </c>
      <c r="Y7" s="95">
        <v>0.5</v>
      </c>
    </row>
    <row r="8" spans="2:25">
      <c r="B8" s="2" t="s">
        <v>239</v>
      </c>
      <c r="C8" s="4"/>
      <c r="D8" s="194" t="e">
        <f>D6/('Cow-calf (Fall)'!$O$19*0.03)</f>
        <v>#REF!</v>
      </c>
      <c r="G8" s="206" t="s">
        <v>260</v>
      </c>
      <c r="H8" s="207" t="s">
        <v>289</v>
      </c>
      <c r="I8" s="196">
        <f>IFERROR(IF(780*$C$23/(I7+S7+T7)&lt;$C$25,780*$C$23/(I7+S7+T7),$C$25),$C$25)</f>
        <v>1.6875</v>
      </c>
      <c r="J8" s="196">
        <f>IFERROR(IF(780*$C$23/(J7+T7+I7)&lt;$C$25,780*$C$23/(J7+T7+I7),$C$25),$C$25)</f>
        <v>1.6875</v>
      </c>
      <c r="K8" s="196">
        <f t="shared" ref="K8:T8" si="3">IFERROR(IF(780*$C$23/(K7+I7+J7)&lt;$C$25,780*$C$23/(K7+I7+J7),$C$25),$C$25)</f>
        <v>1.6875</v>
      </c>
      <c r="L8" s="196">
        <f t="shared" si="3"/>
        <v>1.6875</v>
      </c>
      <c r="M8" s="196">
        <f t="shared" si="3"/>
        <v>1.6875</v>
      </c>
      <c r="N8" s="196">
        <f t="shared" si="3"/>
        <v>1.6875</v>
      </c>
      <c r="O8" s="196">
        <f t="shared" si="3"/>
        <v>1.6875</v>
      </c>
      <c r="P8" s="196">
        <f t="shared" si="3"/>
        <v>1.6875</v>
      </c>
      <c r="Q8" s="196">
        <f t="shared" si="3"/>
        <v>1.6875</v>
      </c>
      <c r="R8" s="196">
        <f t="shared" si="3"/>
        <v>1.6875</v>
      </c>
      <c r="S8" s="196">
        <f t="shared" si="3"/>
        <v>1.6875</v>
      </c>
      <c r="T8" s="196">
        <f t="shared" si="3"/>
        <v>1.6875</v>
      </c>
      <c r="U8" s="188">
        <f>AVERAGE(I8:T8)</f>
        <v>1.6875</v>
      </c>
      <c r="X8" s="2" t="s">
        <v>227</v>
      </c>
      <c r="Y8" s="95">
        <v>0.4</v>
      </c>
    </row>
    <row r="9" spans="2:25">
      <c r="B9" s="2" t="s">
        <v>325</v>
      </c>
      <c r="C9" s="4" t="s">
        <v>232</v>
      </c>
      <c r="D9" s="194">
        <f>Inputs!F5</f>
        <v>15</v>
      </c>
      <c r="G9" s="198" t="s">
        <v>229</v>
      </c>
      <c r="H9" s="67" t="s">
        <v>289</v>
      </c>
      <c r="I9" s="199">
        <f>MIN(I8,I5)</f>
        <v>1.6875</v>
      </c>
      <c r="J9" s="199">
        <f t="shared" ref="J9:T9" si="4">MIN(J8,J5)</f>
        <v>1.6875</v>
      </c>
      <c r="K9" s="199">
        <f t="shared" si="4"/>
        <v>1.6875</v>
      </c>
      <c r="L9" s="199">
        <f t="shared" si="4"/>
        <v>1.6875</v>
      </c>
      <c r="M9" s="199">
        <f t="shared" si="4"/>
        <v>1.6875</v>
      </c>
      <c r="N9" s="199">
        <f t="shared" si="4"/>
        <v>1.6875</v>
      </c>
      <c r="O9" s="199">
        <f t="shared" si="4"/>
        <v>1.6875</v>
      </c>
      <c r="P9" s="199">
        <f t="shared" si="4"/>
        <v>1.6875</v>
      </c>
      <c r="Q9" s="199">
        <f t="shared" si="4"/>
        <v>1.6875</v>
      </c>
      <c r="R9" s="199">
        <f t="shared" si="4"/>
        <v>1.6875</v>
      </c>
      <c r="S9" s="199">
        <f t="shared" si="4"/>
        <v>1.6875</v>
      </c>
      <c r="T9" s="199">
        <f t="shared" si="4"/>
        <v>1.6875</v>
      </c>
      <c r="U9" s="188">
        <f>AVERAGE(I9:T9)</f>
        <v>1.6875</v>
      </c>
      <c r="X9" s="2" t="s">
        <v>230</v>
      </c>
      <c r="Y9" s="95">
        <v>0.35</v>
      </c>
    </row>
    <row r="10" spans="2:25">
      <c r="B10" s="2" t="s">
        <v>231</v>
      </c>
      <c r="C10" s="4" t="s">
        <v>232</v>
      </c>
      <c r="D10" s="2">
        <f>SUMPRODUCT(D11:D13,Inputs!F24:F26)</f>
        <v>36.700000000000003</v>
      </c>
      <c r="I10" s="192">
        <f>RANK(I9,$I$9:$T$9,1)</f>
        <v>1</v>
      </c>
      <c r="J10" s="192">
        <f t="shared" ref="J10:T10" si="5">RANK(J9,$I$9:$T$9,1)</f>
        <v>1</v>
      </c>
      <c r="K10" s="192">
        <f t="shared" si="5"/>
        <v>1</v>
      </c>
      <c r="L10" s="192">
        <f t="shared" si="5"/>
        <v>1</v>
      </c>
      <c r="M10" s="192">
        <f t="shared" si="5"/>
        <v>1</v>
      </c>
      <c r="N10" s="192">
        <f t="shared" si="5"/>
        <v>1</v>
      </c>
      <c r="O10" s="192">
        <f t="shared" si="5"/>
        <v>1</v>
      </c>
      <c r="P10" s="192">
        <f t="shared" si="5"/>
        <v>1</v>
      </c>
      <c r="Q10" s="192">
        <f t="shared" si="5"/>
        <v>1</v>
      </c>
      <c r="R10" s="192">
        <f t="shared" si="5"/>
        <v>1</v>
      </c>
      <c r="S10" s="192">
        <f t="shared" si="5"/>
        <v>1</v>
      </c>
      <c r="T10" s="192">
        <f t="shared" si="5"/>
        <v>1</v>
      </c>
      <c r="U10" s="188"/>
      <c r="X10" s="2" t="s">
        <v>233</v>
      </c>
      <c r="Y10" s="95">
        <v>0.3</v>
      </c>
    </row>
    <row r="11" spans="2:25">
      <c r="B11" s="203" t="s">
        <v>240</v>
      </c>
      <c r="C11" s="4" t="s">
        <v>243</v>
      </c>
      <c r="D11" s="201">
        <f>Inputs!F6</f>
        <v>30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8"/>
    </row>
    <row r="12" spans="2:25">
      <c r="B12" s="203" t="s">
        <v>241</v>
      </c>
      <c r="C12" s="4" t="s">
        <v>244</v>
      </c>
      <c r="D12" s="201">
        <f>Inputs!F7</f>
        <v>10</v>
      </c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8"/>
    </row>
    <row r="13" spans="2:25" ht="33.75" customHeight="1">
      <c r="B13" s="203" t="s">
        <v>242</v>
      </c>
      <c r="C13" s="4" t="s">
        <v>245</v>
      </c>
      <c r="D13" s="201">
        <f>Inputs!F8</f>
        <v>20</v>
      </c>
    </row>
    <row r="14" spans="2:25" ht="30.75" customHeight="1">
      <c r="B14" s="195" t="s">
        <v>234</v>
      </c>
      <c r="C14" s="89" t="s">
        <v>235</v>
      </c>
      <c r="D14" s="195">
        <f>Inputs!F11</f>
        <v>90</v>
      </c>
    </row>
    <row r="15" spans="2:25" ht="48.75" customHeight="1">
      <c r="B15" s="268" t="str">
        <f>"Cow-day assumes a "&amp;'Cow-calf (Fall)'!O19&amp;" pound cow consuming 3% of her body weight daily."</f>
        <v>Cow-day assumes a 1250 pound cow consuming 3% of her body weight daily.</v>
      </c>
      <c r="C15" s="268"/>
      <c r="D15" s="268"/>
    </row>
    <row r="16" spans="2:25">
      <c r="B16" s="268" t="s">
        <v>290</v>
      </c>
      <c r="C16" s="268"/>
      <c r="D16" s="268"/>
    </row>
    <row r="19" spans="2:4">
      <c r="B19" s="2" t="s">
        <v>292</v>
      </c>
      <c r="C19" s="2">
        <f>'Cow-calf (Fall)'!O19</f>
        <v>1250</v>
      </c>
    </row>
    <row r="20" spans="2:4">
      <c r="B20" s="2" t="s">
        <v>293</v>
      </c>
      <c r="C20" s="94">
        <v>0.03</v>
      </c>
    </row>
    <row r="23" spans="2:4">
      <c r="C23" s="190" t="e">
        <f>(D4+D10+D9)/D6</f>
        <v>#REF!</v>
      </c>
      <c r="D23" s="2" t="s">
        <v>236</v>
      </c>
    </row>
    <row r="24" spans="2:4">
      <c r="C24" s="191">
        <f>D14/2000</f>
        <v>4.4999999999999998E-2</v>
      </c>
      <c r="D24" s="2" t="s">
        <v>237</v>
      </c>
    </row>
    <row r="25" spans="2:4">
      <c r="C25" s="191">
        <f>C24*(C19*C20)</f>
        <v>1.6875</v>
      </c>
      <c r="D25" s="2" t="s">
        <v>291</v>
      </c>
    </row>
    <row r="32" spans="2:4">
      <c r="B32" s="2" t="s">
        <v>303</v>
      </c>
      <c r="C32" s="2" t="s">
        <v>219</v>
      </c>
    </row>
    <row r="33" spans="2:3">
      <c r="B33" s="2" t="s">
        <v>302</v>
      </c>
      <c r="C33" s="2" t="s">
        <v>306</v>
      </c>
    </row>
    <row r="34" spans="2:3">
      <c r="B34" s="2" t="s">
        <v>304</v>
      </c>
      <c r="C34" s="2" t="s">
        <v>227</v>
      </c>
    </row>
    <row r="35" spans="2:3">
      <c r="B35" s="2" t="s">
        <v>305</v>
      </c>
      <c r="C35" s="2" t="s">
        <v>233</v>
      </c>
    </row>
    <row r="37" spans="2:3">
      <c r="B37" s="2" t="s">
        <v>307</v>
      </c>
      <c r="C37" s="2">
        <v>5</v>
      </c>
    </row>
    <row r="38" spans="2:3">
      <c r="B38" s="2" t="s">
        <v>308</v>
      </c>
      <c r="C38" s="2">
        <v>4</v>
      </c>
    </row>
    <row r="39" spans="2:3">
      <c r="B39" s="2" t="s">
        <v>309</v>
      </c>
      <c r="C39" s="2">
        <v>3</v>
      </c>
    </row>
    <row r="40" spans="2:3">
      <c r="B40" s="2" t="s">
        <v>310</v>
      </c>
      <c r="C40" s="2">
        <v>2</v>
      </c>
    </row>
    <row r="41" spans="2:3">
      <c r="B41" s="2" t="s">
        <v>311</v>
      </c>
      <c r="C41" s="2">
        <v>1</v>
      </c>
    </row>
  </sheetData>
  <mergeCells count="2">
    <mergeCell ref="B15:D15"/>
    <mergeCell ref="B16:D16"/>
  </mergeCells>
  <phoneticPr fontId="45" type="noConversion"/>
  <pageMargins left="0.7" right="0.7" top="0.75" bottom="0.7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966B-C070-4CDA-A8C4-598250311651}">
  <dimension ref="A1:G16"/>
  <sheetViews>
    <sheetView workbookViewId="0">
      <selection sqref="A1:F16"/>
    </sheetView>
  </sheetViews>
  <sheetFormatPr defaultRowHeight="15"/>
  <cols>
    <col min="1" max="1" width="19.21875" bestFit="1" customWidth="1"/>
  </cols>
  <sheetData>
    <row r="1" spans="1:7">
      <c r="A1" s="211" t="s">
        <v>82</v>
      </c>
      <c r="B1" s="211" t="s">
        <v>265</v>
      </c>
      <c r="C1" s="211" t="s">
        <v>266</v>
      </c>
      <c r="D1" s="211" t="s">
        <v>267</v>
      </c>
      <c r="E1" s="211" t="s">
        <v>268</v>
      </c>
      <c r="F1" s="211" t="s">
        <v>269</v>
      </c>
      <c r="G1" s="211" t="s">
        <v>295</v>
      </c>
    </row>
    <row r="2" spans="1:7">
      <c r="A2" s="211" t="s">
        <v>275</v>
      </c>
      <c r="B2" s="211" t="s">
        <v>280</v>
      </c>
      <c r="C2" s="211" t="s">
        <v>280</v>
      </c>
      <c r="D2" s="211" t="s">
        <v>280</v>
      </c>
      <c r="E2" s="211" t="s">
        <v>280</v>
      </c>
      <c r="F2" s="211" t="s">
        <v>281</v>
      </c>
    </row>
    <row r="3" spans="1:7">
      <c r="A3" s="211" t="s">
        <v>276</v>
      </c>
      <c r="B3" s="211" t="s">
        <v>280</v>
      </c>
      <c r="C3" s="211" t="s">
        <v>280</v>
      </c>
      <c r="D3" s="211" t="s">
        <v>280</v>
      </c>
      <c r="E3" s="211" t="s">
        <v>280</v>
      </c>
      <c r="F3" s="211" t="s">
        <v>280</v>
      </c>
    </row>
    <row r="4" spans="1:7">
      <c r="A4" s="211" t="s">
        <v>12</v>
      </c>
      <c r="B4" s="212" t="s">
        <v>281</v>
      </c>
      <c r="C4" s="211" t="s">
        <v>280</v>
      </c>
      <c r="D4" s="211" t="s">
        <v>280</v>
      </c>
      <c r="E4" s="211" t="s">
        <v>280</v>
      </c>
      <c r="F4" s="211" t="s">
        <v>281</v>
      </c>
    </row>
    <row r="5" spans="1:7">
      <c r="A5" s="211" t="s">
        <v>270</v>
      </c>
      <c r="B5" s="211" t="s">
        <v>280</v>
      </c>
      <c r="C5" s="211" t="s">
        <v>280</v>
      </c>
      <c r="D5" s="211" t="s">
        <v>280</v>
      </c>
      <c r="E5" s="211" t="s">
        <v>280</v>
      </c>
      <c r="F5" s="211" t="s">
        <v>280</v>
      </c>
    </row>
    <row r="6" spans="1:7">
      <c r="A6" s="211" t="s">
        <v>271</v>
      </c>
      <c r="B6" s="211" t="s">
        <v>280</v>
      </c>
      <c r="C6" s="211" t="s">
        <v>281</v>
      </c>
      <c r="D6" s="211" t="s">
        <v>280</v>
      </c>
      <c r="E6" s="211" t="s">
        <v>280</v>
      </c>
      <c r="F6" s="211" t="s">
        <v>280</v>
      </c>
    </row>
    <row r="7" spans="1:7">
      <c r="A7" s="211" t="s">
        <v>272</v>
      </c>
      <c r="B7" s="211" t="s">
        <v>280</v>
      </c>
      <c r="C7" s="211" t="s">
        <v>281</v>
      </c>
      <c r="D7" s="211" t="s">
        <v>280</v>
      </c>
      <c r="E7" s="211" t="s">
        <v>280</v>
      </c>
      <c r="F7" s="211" t="s">
        <v>280</v>
      </c>
    </row>
    <row r="8" spans="1:7">
      <c r="A8" s="211" t="s">
        <v>273</v>
      </c>
      <c r="B8" s="211" t="s">
        <v>280</v>
      </c>
      <c r="C8" s="211" t="s">
        <v>280</v>
      </c>
      <c r="D8" s="211" t="s">
        <v>280</v>
      </c>
      <c r="E8" s="211" t="s">
        <v>280</v>
      </c>
      <c r="F8" s="211" t="s">
        <v>280</v>
      </c>
    </row>
    <row r="9" spans="1:7">
      <c r="A9" s="211" t="s">
        <v>274</v>
      </c>
      <c r="B9" s="211" t="s">
        <v>280</v>
      </c>
      <c r="C9" s="211" t="s">
        <v>280</v>
      </c>
      <c r="D9" s="211" t="s">
        <v>280</v>
      </c>
      <c r="E9" s="211" t="s">
        <v>280</v>
      </c>
      <c r="F9" s="211" t="s">
        <v>280</v>
      </c>
    </row>
    <row r="10" spans="1:7">
      <c r="A10" s="211" t="s">
        <v>14</v>
      </c>
      <c r="B10" s="211" t="s">
        <v>280</v>
      </c>
      <c r="C10" s="211" t="s">
        <v>280</v>
      </c>
      <c r="D10" s="211" t="s">
        <v>280</v>
      </c>
      <c r="E10" s="211" t="s">
        <v>280</v>
      </c>
      <c r="F10" s="211" t="s">
        <v>280</v>
      </c>
    </row>
    <row r="11" spans="1:7">
      <c r="A11" s="211" t="s">
        <v>282</v>
      </c>
      <c r="B11" s="211" t="s">
        <v>280</v>
      </c>
      <c r="C11" s="211" t="s">
        <v>281</v>
      </c>
      <c r="D11" s="211" t="s">
        <v>280</v>
      </c>
      <c r="E11" s="211" t="s">
        <v>280</v>
      </c>
      <c r="F11" s="211" t="s">
        <v>280</v>
      </c>
    </row>
    <row r="12" spans="1:7">
      <c r="A12" s="211" t="s">
        <v>65</v>
      </c>
      <c r="B12" s="211" t="s">
        <v>280</v>
      </c>
      <c r="C12" s="211" t="s">
        <v>281</v>
      </c>
      <c r="D12" s="211" t="s">
        <v>280</v>
      </c>
      <c r="E12" s="211" t="s">
        <v>281</v>
      </c>
      <c r="F12" s="211" t="s">
        <v>280</v>
      </c>
    </row>
    <row r="13" spans="1:7">
      <c r="A13" s="211" t="s">
        <v>330</v>
      </c>
      <c r="B13" s="212" t="s">
        <v>281</v>
      </c>
      <c r="C13" s="211" t="s">
        <v>281</v>
      </c>
      <c r="D13" s="211" t="s">
        <v>281</v>
      </c>
      <c r="E13" s="211" t="s">
        <v>281</v>
      </c>
      <c r="F13" s="211" t="s">
        <v>280</v>
      </c>
    </row>
    <row r="14" spans="1:7">
      <c r="A14" s="211" t="s">
        <v>277</v>
      </c>
      <c r="B14" s="212" t="s">
        <v>281</v>
      </c>
      <c r="C14" s="211" t="s">
        <v>281</v>
      </c>
      <c r="D14" s="211" t="s">
        <v>280</v>
      </c>
      <c r="E14" s="211" t="s">
        <v>281</v>
      </c>
      <c r="F14" s="211" t="s">
        <v>280</v>
      </c>
    </row>
    <row r="15" spans="1:7">
      <c r="A15" s="211" t="s">
        <v>278</v>
      </c>
      <c r="B15" s="212" t="s">
        <v>281</v>
      </c>
      <c r="C15" s="211" t="s">
        <v>281</v>
      </c>
      <c r="D15" s="211" t="s">
        <v>280</v>
      </c>
      <c r="E15" s="211" t="s">
        <v>281</v>
      </c>
      <c r="F15" s="211" t="s">
        <v>280</v>
      </c>
    </row>
    <row r="16" spans="1:7">
      <c r="A16" s="211" t="s">
        <v>279</v>
      </c>
      <c r="B16" s="212" t="s">
        <v>281</v>
      </c>
      <c r="C16" s="211" t="s">
        <v>281</v>
      </c>
      <c r="D16" s="211" t="s">
        <v>281</v>
      </c>
      <c r="E16" s="211" t="s">
        <v>281</v>
      </c>
      <c r="F16" s="211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62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6640625" style="13" customWidth="1"/>
    <col min="3" max="3" width="24.77734375" style="13" customWidth="1"/>
    <col min="4" max="4" width="7.88671875" style="13" customWidth="1"/>
    <col min="5" max="5" width="8.44140625" style="13" customWidth="1"/>
    <col min="6" max="10" width="9.77734375" style="13" customWidth="1"/>
    <col min="11" max="11" width="3.33203125" style="13" customWidth="1"/>
    <col min="12" max="12" width="5.5546875" style="13" hidden="1" customWidth="1"/>
    <col min="13" max="13" width="19.77734375" style="13" customWidth="1"/>
    <col min="14" max="15" width="10.77734375" style="13" customWidth="1"/>
    <col min="16" max="16" width="9.33203125" style="13" customWidth="1"/>
    <col min="17" max="17" width="14.77734375" style="13" customWidth="1"/>
    <col min="18" max="18" width="7.6640625" style="13" customWidth="1"/>
    <col min="19" max="20" width="8.77734375" style="13" customWidth="1"/>
    <col min="21" max="21" width="9.33203125" style="13" customWidth="1"/>
    <col min="22" max="22" width="3.33203125" style="13" customWidth="1"/>
    <col min="23" max="16384" width="8.88671875" style="13" hidden="1"/>
  </cols>
  <sheetData>
    <row r="1" spans="1:21" ht="21.75">
      <c r="B1" s="269" t="s">
        <v>174</v>
      </c>
      <c r="C1" s="269"/>
      <c r="D1" s="269"/>
      <c r="E1" s="269"/>
      <c r="F1" s="269"/>
      <c r="G1" s="269"/>
      <c r="H1" s="269"/>
      <c r="I1" s="269"/>
      <c r="J1" s="269"/>
      <c r="M1" s="106" t="s">
        <v>61</v>
      </c>
      <c r="N1" s="106"/>
      <c r="O1" s="106"/>
      <c r="P1" s="106"/>
      <c r="Q1" s="106"/>
      <c r="R1" s="106"/>
      <c r="S1" s="107"/>
      <c r="T1" s="107"/>
      <c r="U1" s="107"/>
    </row>
    <row r="2" spans="1:21" ht="30" customHeight="1">
      <c r="B2" s="2"/>
      <c r="C2" s="2"/>
      <c r="D2" s="2"/>
      <c r="E2" s="2"/>
      <c r="F2" s="2"/>
      <c r="G2" s="2"/>
      <c r="H2" s="2"/>
      <c r="I2" s="280" t="s">
        <v>178</v>
      </c>
      <c r="J2" s="280"/>
      <c r="M2" s="117" t="s">
        <v>58</v>
      </c>
      <c r="N2" s="118" t="s">
        <v>189</v>
      </c>
      <c r="O2" s="118" t="s">
        <v>76</v>
      </c>
      <c r="P2" s="118" t="s">
        <v>60</v>
      </c>
      <c r="Q2" s="118" t="s">
        <v>38</v>
      </c>
      <c r="R2" s="118" t="s">
        <v>188</v>
      </c>
      <c r="S2" s="118" t="s">
        <v>152</v>
      </c>
      <c r="T2" s="118" t="s">
        <v>151</v>
      </c>
      <c r="U2" s="118" t="s">
        <v>185</v>
      </c>
    </row>
    <row r="3" spans="1:21" ht="16.5" customHeight="1">
      <c r="B3" s="20"/>
      <c r="C3" s="20"/>
      <c r="D3" s="20"/>
      <c r="E3" s="20"/>
      <c r="F3" s="20"/>
      <c r="G3" s="20"/>
      <c r="H3" s="20"/>
      <c r="I3" s="130">
        <v>0.88</v>
      </c>
      <c r="J3" s="130">
        <v>0.92</v>
      </c>
      <c r="L3" s="15">
        <v>0.8</v>
      </c>
      <c r="M3" s="37" t="s">
        <v>22</v>
      </c>
      <c r="N3" s="82">
        <v>40</v>
      </c>
      <c r="O3" s="38">
        <f>N3/(O$19+O$15/(O$12/O$13))</f>
        <v>3.0441400304414001E-2</v>
      </c>
      <c r="P3" s="37">
        <v>120</v>
      </c>
      <c r="Q3" s="62" t="str">
        <f>VLOOKUP(M3,Inputs!$B$10:$F$21,2,FALSE)</f>
        <v>ton</v>
      </c>
      <c r="R3" s="39">
        <f>N3*P3/VLOOKUP(M3,Inputs!$B$10:$F$21,3,FALSE)/IF(M3="Pasture",1,VLOOKUP(M3,Inputs!$B$10:$F$21,4,FALSE))</f>
        <v>2.8235294117647061</v>
      </c>
      <c r="S3" s="27">
        <f>R3*VLOOKUP(M3,Inputs!$B$10:$F$21,5,FALSE)</f>
        <v>254.11764705882354</v>
      </c>
      <c r="T3" s="40">
        <f t="shared" ref="T3:U6" si="0">R3*$O$12</f>
        <v>141.1764705882353</v>
      </c>
      <c r="U3" s="27">
        <f t="shared" si="0"/>
        <v>12705.882352941177</v>
      </c>
    </row>
    <row r="4" spans="1:21" ht="16.5" customHeight="1">
      <c r="A4" s="16"/>
      <c r="B4" s="18" t="s">
        <v>25</v>
      </c>
      <c r="C4" s="17"/>
      <c r="D4" s="17"/>
      <c r="E4" s="17"/>
      <c r="F4" s="18" t="s">
        <v>38</v>
      </c>
      <c r="G4" s="18" t="s">
        <v>47</v>
      </c>
      <c r="H4" s="18" t="s">
        <v>48</v>
      </c>
      <c r="I4" s="19" t="s">
        <v>49</v>
      </c>
      <c r="J4" s="19" t="s">
        <v>49</v>
      </c>
      <c r="L4" s="15">
        <v>0.82</v>
      </c>
      <c r="M4" s="37" t="s">
        <v>353</v>
      </c>
      <c r="N4" s="82">
        <v>5</v>
      </c>
      <c r="O4" s="38">
        <f>N4/(O$19+O$15/(O$12/O$13))</f>
        <v>3.8051750380517502E-3</v>
      </c>
      <c r="P4" s="37">
        <v>90</v>
      </c>
      <c r="Q4" s="62" t="str">
        <f>VLOOKUP(M4,Inputs!$B$10:$F$21,2,FALSE)</f>
        <v>bushel</v>
      </c>
      <c r="R4" s="39">
        <f>N4*P4/VLOOKUP(M4,Inputs!$B$10:$F$21,3,FALSE)/IF(M4="Pasture",1,VLOOKUP(M4,Inputs!$B$10:$F$21,4,FALSE))</f>
        <v>9.453781512605044</v>
      </c>
      <c r="S4" s="27">
        <f>R4*VLOOKUP(M4,Inputs!$B$10:$F$21,5,FALSE)</f>
        <v>49.632352941176478</v>
      </c>
      <c r="T4" s="40">
        <f t="shared" si="0"/>
        <v>472.6890756302522</v>
      </c>
      <c r="U4" s="27">
        <f t="shared" si="0"/>
        <v>2481.6176470588239</v>
      </c>
    </row>
    <row r="5" spans="1:21" ht="16.5" customHeight="1">
      <c r="A5" s="16"/>
      <c r="B5" s="120" t="s">
        <v>10</v>
      </c>
      <c r="C5" s="20" t="s">
        <v>51</v>
      </c>
      <c r="D5" s="20"/>
      <c r="E5" s="20"/>
      <c r="F5" s="121" t="s">
        <v>50</v>
      </c>
      <c r="G5" s="52">
        <v>5.9</v>
      </c>
      <c r="H5" s="53">
        <v>440.15</v>
      </c>
      <c r="I5" s="54">
        <f>$G$5*$H$5/2*I3</f>
        <v>1142.6294</v>
      </c>
      <c r="J5" s="54">
        <f>$G$5*$H$5/2*J3</f>
        <v>1194.5671000000002</v>
      </c>
      <c r="K5" s="15"/>
      <c r="L5" s="15">
        <v>0.84</v>
      </c>
      <c r="M5" s="37" t="s">
        <v>41</v>
      </c>
      <c r="N5" s="82">
        <v>3</v>
      </c>
      <c r="O5" s="38">
        <f>N5/(O$19+O$15/(O$12/O$13))</f>
        <v>2.2831050228310501E-3</v>
      </c>
      <c r="P5" s="37">
        <v>90</v>
      </c>
      <c r="Q5" s="62" t="str">
        <f>VLOOKUP(M5,Inputs!$B$10:$F$21,2,FALSE)</f>
        <v>ton</v>
      </c>
      <c r="R5" s="39">
        <f>N5*P5/VLOOKUP(M5,Inputs!$B$10:$F$21,3,FALSE)/IF(M5="Pasture",1,VLOOKUP(M5,Inputs!$B$10:$F$21,4,FALSE))</f>
        <v>0.15340909090909091</v>
      </c>
      <c r="S5" s="27">
        <f>R5*VLOOKUP(M5,Inputs!$B$10:$F$21,5,FALSE)</f>
        <v>26.84659090909091</v>
      </c>
      <c r="T5" s="40">
        <f t="shared" si="0"/>
        <v>7.6704545454545459</v>
      </c>
      <c r="U5" s="27">
        <f t="shared" si="0"/>
        <v>1342.3295454545455</v>
      </c>
    </row>
    <row r="6" spans="1:21" ht="16.5" customHeight="1">
      <c r="A6" s="21"/>
      <c r="B6" s="120" t="s">
        <v>11</v>
      </c>
      <c r="C6" s="20" t="s">
        <v>52</v>
      </c>
      <c r="D6" s="20"/>
      <c r="E6" s="20"/>
      <c r="F6" s="121" t="s">
        <v>50</v>
      </c>
      <c r="G6" s="52">
        <v>5.5</v>
      </c>
      <c r="H6" s="53">
        <v>417.41</v>
      </c>
      <c r="I6" s="54">
        <f>$G$6*$H$6/2*I3</f>
        <v>1010.1322</v>
      </c>
      <c r="J6" s="54">
        <f>$G$6*$H$6/2*J3</f>
        <v>1056.0473000000002</v>
      </c>
      <c r="K6" s="15"/>
      <c r="L6" s="15">
        <v>0.86</v>
      </c>
      <c r="M6" s="37" t="s">
        <v>36</v>
      </c>
      <c r="N6" s="37">
        <v>0.25</v>
      </c>
      <c r="O6" s="38">
        <f>N6/(O$19+O$15/(O$12/O$13))</f>
        <v>1.9025875190258751E-4</v>
      </c>
      <c r="P6" s="37">
        <v>365</v>
      </c>
      <c r="Q6" s="62" t="str">
        <f>VLOOKUP(M6,Inputs!$B$10:$F$21,2,FALSE)</f>
        <v>pound</v>
      </c>
      <c r="R6" s="39">
        <f>N6*P6/VLOOKUP(M6,Inputs!$B$10:$F$21,3,FALSE)/IF(M6="Pasture",1,VLOOKUP(M6,Inputs!$B$10:$F$21,4,FALSE))</f>
        <v>93.112244897959187</v>
      </c>
      <c r="S6" s="43">
        <f>R6*VLOOKUP(M6,Inputs!$B$10:$F$21,5,FALSE)</f>
        <v>55.867346938775512</v>
      </c>
      <c r="T6" s="40">
        <f t="shared" si="0"/>
        <v>4655.6122448979595</v>
      </c>
      <c r="U6" s="43">
        <f t="shared" si="0"/>
        <v>2793.3673469387754</v>
      </c>
    </row>
    <row r="7" spans="1:21" ht="16.5" customHeight="1">
      <c r="A7" s="21"/>
      <c r="B7" s="120" t="s">
        <v>17</v>
      </c>
      <c r="C7" s="20" t="s">
        <v>53</v>
      </c>
      <c r="D7" s="20"/>
      <c r="E7" s="20"/>
      <c r="F7" s="121" t="s">
        <v>50</v>
      </c>
      <c r="G7" s="122">
        <f>O19/100</f>
        <v>12.5</v>
      </c>
      <c r="H7" s="53">
        <v>162</v>
      </c>
      <c r="I7" s="54">
        <f>G7*H7*(O16-O18)</f>
        <v>202.49999999999997</v>
      </c>
      <c r="J7" s="54">
        <f>I7</f>
        <v>202.49999999999997</v>
      </c>
      <c r="K7" s="22"/>
      <c r="L7" s="15">
        <v>0.88</v>
      </c>
      <c r="M7" s="32"/>
      <c r="N7" s="32"/>
      <c r="O7" s="109"/>
      <c r="P7" s="32"/>
      <c r="Q7" s="110"/>
      <c r="R7" s="104" t="s">
        <v>77</v>
      </c>
      <c r="S7" s="111">
        <f>SUM(S3:S6)</f>
        <v>386.46393784786642</v>
      </c>
      <c r="T7" s="112"/>
      <c r="U7" s="111">
        <f>SUM(U3:U6)</f>
        <v>19323.19689239332</v>
      </c>
    </row>
    <row r="8" spans="1:21" ht="16.5" customHeight="1">
      <c r="A8" s="21"/>
      <c r="B8" s="120"/>
      <c r="C8" s="20" t="s">
        <v>5</v>
      </c>
      <c r="D8" s="20"/>
      <c r="E8" s="20"/>
      <c r="F8" s="51"/>
      <c r="G8" s="20"/>
      <c r="H8" s="20"/>
      <c r="I8" s="28">
        <v>0</v>
      </c>
      <c r="J8" s="28">
        <v>0</v>
      </c>
      <c r="L8" s="15">
        <v>0.9</v>
      </c>
      <c r="M8" s="270" t="s">
        <v>68</v>
      </c>
      <c r="N8" s="270"/>
      <c r="O8" s="270"/>
      <c r="P8" s="270"/>
      <c r="Q8" s="270"/>
      <c r="R8" s="270"/>
      <c r="S8" s="270"/>
      <c r="T8" s="270"/>
      <c r="U8" s="270"/>
    </row>
    <row r="9" spans="1:21" ht="16.5" customHeight="1" thickBot="1">
      <c r="A9" s="21"/>
      <c r="B9" s="20"/>
      <c r="C9" s="69"/>
      <c r="D9" s="69"/>
      <c r="E9" s="69"/>
      <c r="F9" s="51"/>
      <c r="G9" s="20"/>
      <c r="H9" s="55" t="s">
        <v>26</v>
      </c>
      <c r="I9" s="56">
        <f>SUM(I5:I7)</f>
        <v>2355.2615999999998</v>
      </c>
      <c r="J9" s="56">
        <f>SUM(J5:J7)</f>
        <v>2453.1144000000004</v>
      </c>
      <c r="L9" s="15">
        <v>0.91999999999999904</v>
      </c>
      <c r="M9" s="48"/>
      <c r="N9" s="48"/>
      <c r="O9" s="48"/>
      <c r="P9" s="48"/>
    </row>
    <row r="10" spans="1:21" ht="16.5" customHeight="1">
      <c r="A10" s="21"/>
      <c r="B10" s="20"/>
      <c r="C10" s="69"/>
      <c r="D10" s="69"/>
      <c r="E10" s="69"/>
      <c r="F10" s="51"/>
      <c r="G10" s="20"/>
      <c r="H10" s="20"/>
      <c r="I10" s="57"/>
      <c r="J10" s="57"/>
      <c r="L10" s="15">
        <v>0.93999999999999895</v>
      </c>
      <c r="M10" s="106" t="s">
        <v>62</v>
      </c>
      <c r="N10" s="106"/>
      <c r="O10" s="106"/>
      <c r="Q10" s="33" t="s">
        <v>83</v>
      </c>
      <c r="R10" s="34"/>
      <c r="S10" s="34"/>
      <c r="T10" s="34"/>
      <c r="U10" s="35"/>
    </row>
    <row r="11" spans="1:21" ht="16.5" customHeight="1">
      <c r="A11" s="16"/>
      <c r="B11" s="18" t="s">
        <v>24</v>
      </c>
      <c r="C11" s="17"/>
      <c r="D11" s="17"/>
      <c r="E11" s="17"/>
      <c r="F11" s="18" t="s">
        <v>38</v>
      </c>
      <c r="G11" s="18" t="s">
        <v>47</v>
      </c>
      <c r="H11" s="18" t="s">
        <v>48</v>
      </c>
      <c r="I11" s="19" t="s">
        <v>49</v>
      </c>
      <c r="J11" s="19" t="s">
        <v>49</v>
      </c>
      <c r="L11" s="15">
        <v>0.95999999999999897</v>
      </c>
      <c r="M11" s="115" t="s">
        <v>187</v>
      </c>
      <c r="N11" s="115" t="s">
        <v>38</v>
      </c>
      <c r="O11" s="116" t="s">
        <v>47</v>
      </c>
      <c r="Q11" s="277" t="s">
        <v>82</v>
      </c>
      <c r="R11" s="273" t="s">
        <v>84</v>
      </c>
      <c r="S11" s="273" t="s">
        <v>194</v>
      </c>
      <c r="T11" s="273" t="s">
        <v>195</v>
      </c>
      <c r="U11" s="273" t="s">
        <v>86</v>
      </c>
    </row>
    <row r="12" spans="1:21" ht="16.5" customHeight="1">
      <c r="A12" s="16"/>
      <c r="B12" s="20"/>
      <c r="C12" s="20" t="s">
        <v>3</v>
      </c>
      <c r="D12" s="20"/>
      <c r="E12" s="20"/>
      <c r="F12" s="121" t="s">
        <v>327</v>
      </c>
      <c r="G12" s="124">
        <v>3</v>
      </c>
      <c r="H12" s="54">
        <f>Inputs!F3+Inputs!F4+Inputs!F5+SUMPRODUCT(Inputs!F6:F8,Inputs!F24:F26)</f>
        <v>106.7</v>
      </c>
      <c r="I12" s="54">
        <f>G12*H12</f>
        <v>320.10000000000002</v>
      </c>
      <c r="J12" s="54">
        <f>I12</f>
        <v>320.10000000000002</v>
      </c>
      <c r="L12" s="15">
        <v>0.97999999999999898</v>
      </c>
      <c r="M12" s="13" t="s">
        <v>63</v>
      </c>
      <c r="N12" s="4" t="s">
        <v>72</v>
      </c>
      <c r="O12" s="37">
        <v>50</v>
      </c>
      <c r="Q12" s="278"/>
      <c r="R12" s="274"/>
      <c r="S12" s="274"/>
      <c r="T12" s="274"/>
      <c r="U12" s="274"/>
    </row>
    <row r="13" spans="1:21" ht="16.5" customHeight="1">
      <c r="A13" s="16"/>
      <c r="B13" s="20"/>
      <c r="C13" s="20" t="str">
        <f t="shared" ref="C13:C16" si="1">M3</f>
        <v>Mixed hay</v>
      </c>
      <c r="D13" s="20"/>
      <c r="E13" s="20"/>
      <c r="F13" s="121" t="str">
        <f t="shared" ref="F13:G13" si="2">Q3</f>
        <v>ton</v>
      </c>
      <c r="G13" s="122">
        <f t="shared" si="2"/>
        <v>2.8235294117647061</v>
      </c>
      <c r="H13" s="54">
        <f>VLOOKUP(C13,Inputs!$B$10:$F$21,5,FALSE)</f>
        <v>90</v>
      </c>
      <c r="I13" s="54">
        <f t="shared" ref="I13:I16" si="3">S3</f>
        <v>254.11764705882354</v>
      </c>
      <c r="J13" s="54">
        <f t="shared" ref="J13:J16" si="4">I13</f>
        <v>254.11764705882354</v>
      </c>
      <c r="M13" s="13" t="s">
        <v>64</v>
      </c>
      <c r="N13" s="4" t="s">
        <v>73</v>
      </c>
      <c r="O13" s="37">
        <v>2</v>
      </c>
      <c r="Q13" s="114" t="s">
        <v>175</v>
      </c>
      <c r="R13" s="44">
        <v>55</v>
      </c>
      <c r="S13" s="37">
        <v>0.66700000000000004</v>
      </c>
      <c r="T13" s="37">
        <v>95</v>
      </c>
      <c r="U13" s="27">
        <f>R13*S13*T13</f>
        <v>3485.0750000000003</v>
      </c>
    </row>
    <row r="14" spans="1:21" ht="16.5" customHeight="1">
      <c r="A14" s="16"/>
      <c r="B14" s="20"/>
      <c r="C14" s="20" t="str">
        <f t="shared" si="1"/>
        <v>Purchased corn</v>
      </c>
      <c r="D14" s="20"/>
      <c r="E14" s="20"/>
      <c r="F14" s="121" t="str">
        <f t="shared" ref="F14:G14" si="5">Q4</f>
        <v>bushel</v>
      </c>
      <c r="G14" s="122">
        <f t="shared" si="5"/>
        <v>9.453781512605044</v>
      </c>
      <c r="H14" s="54">
        <f>VLOOKUP(C14,Inputs!$B$10:$F$21,5,FALSE)</f>
        <v>5.25</v>
      </c>
      <c r="I14" s="54">
        <f t="shared" si="3"/>
        <v>49.632352941176478</v>
      </c>
      <c r="J14" s="54">
        <f t="shared" si="4"/>
        <v>49.632352941176478</v>
      </c>
      <c r="M14" s="13" t="s">
        <v>102</v>
      </c>
      <c r="N14" s="4" t="s">
        <v>103</v>
      </c>
      <c r="O14" s="82">
        <v>5</v>
      </c>
      <c r="Q14" s="114" t="s">
        <v>186</v>
      </c>
      <c r="R14" s="44">
        <v>10</v>
      </c>
      <c r="S14" s="37">
        <v>3</v>
      </c>
      <c r="T14" s="37">
        <v>10</v>
      </c>
      <c r="U14" s="27">
        <f t="shared" ref="U14:U18" si="6">R14*S14*T14</f>
        <v>300</v>
      </c>
    </row>
    <row r="15" spans="1:21" ht="16.5" customHeight="1">
      <c r="A15" s="16"/>
      <c r="B15" s="20"/>
      <c r="C15" s="20" t="str">
        <f t="shared" si="1"/>
        <v>Dried distillers grains</v>
      </c>
      <c r="D15" s="20"/>
      <c r="E15" s="20"/>
      <c r="F15" s="121" t="str">
        <f t="shared" ref="F15:G15" si="7">Q5</f>
        <v>ton</v>
      </c>
      <c r="G15" s="122">
        <f t="shared" si="7"/>
        <v>0.15340909090909091</v>
      </c>
      <c r="H15" s="123">
        <f>VLOOKUP(C15,Inputs!$B$10:$F$21,5,FALSE)</f>
        <v>175</v>
      </c>
      <c r="I15" s="54">
        <f t="shared" si="3"/>
        <v>26.84659090909091</v>
      </c>
      <c r="J15" s="54">
        <f t="shared" si="4"/>
        <v>26.84659090909091</v>
      </c>
      <c r="M15" s="13" t="s">
        <v>78</v>
      </c>
      <c r="N15" s="4" t="s">
        <v>70</v>
      </c>
      <c r="O15" s="100">
        <v>1600</v>
      </c>
      <c r="Q15" s="114" t="s">
        <v>87</v>
      </c>
      <c r="R15" s="44">
        <v>32</v>
      </c>
      <c r="S15" s="37">
        <v>0.5</v>
      </c>
      <c r="T15" s="37">
        <v>60</v>
      </c>
      <c r="U15" s="102">
        <f t="shared" si="6"/>
        <v>960</v>
      </c>
    </row>
    <row r="16" spans="1:21" ht="16.5" customHeight="1">
      <c r="A16" s="16"/>
      <c r="B16" s="20"/>
      <c r="C16" s="20" t="str">
        <f t="shared" si="1"/>
        <v>Salt and minerals</v>
      </c>
      <c r="D16" s="20"/>
      <c r="E16" s="20"/>
      <c r="F16" s="121" t="str">
        <f t="shared" ref="F16:G16" si="8">Q6</f>
        <v>pound</v>
      </c>
      <c r="G16" s="122">
        <f t="shared" si="8"/>
        <v>93.112244897959187</v>
      </c>
      <c r="H16" s="123">
        <f>VLOOKUP(C16,Inputs!$B$10:$F$21,5,FALSE)</f>
        <v>0.6</v>
      </c>
      <c r="I16" s="54">
        <f t="shared" si="3"/>
        <v>55.867346938775512</v>
      </c>
      <c r="J16" s="54">
        <f t="shared" si="4"/>
        <v>55.867346938775512</v>
      </c>
      <c r="M16" s="13" t="s">
        <v>65</v>
      </c>
      <c r="N16" s="4" t="s">
        <v>71</v>
      </c>
      <c r="O16" s="45">
        <v>0.12</v>
      </c>
      <c r="Q16" s="114" t="s">
        <v>88</v>
      </c>
      <c r="R16" s="44">
        <v>20</v>
      </c>
      <c r="S16" s="37">
        <v>3</v>
      </c>
      <c r="T16" s="37">
        <v>8</v>
      </c>
      <c r="U16" s="103">
        <f t="shared" si="6"/>
        <v>480</v>
      </c>
    </row>
    <row r="17" spans="1:21" ht="16.5" customHeight="1">
      <c r="A17" s="16"/>
      <c r="B17" s="20"/>
      <c r="C17" s="20" t="s">
        <v>317</v>
      </c>
      <c r="D17" s="20"/>
      <c r="E17" s="20"/>
      <c r="F17" s="121" t="s">
        <v>55</v>
      </c>
      <c r="G17" s="124">
        <v>8</v>
      </c>
      <c r="H17" s="125">
        <f>Inputs!F23</f>
        <v>22</v>
      </c>
      <c r="I17" s="54">
        <f>G17*H17</f>
        <v>176</v>
      </c>
      <c r="J17" s="54">
        <f>G17*H17</f>
        <v>176</v>
      </c>
      <c r="M17" s="13" t="s">
        <v>320</v>
      </c>
      <c r="N17" s="4"/>
      <c r="O17" s="45" t="s">
        <v>322</v>
      </c>
      <c r="Q17" s="114" t="s">
        <v>89</v>
      </c>
      <c r="R17" s="44">
        <v>12</v>
      </c>
      <c r="S17" s="37">
        <v>1</v>
      </c>
      <c r="T17" s="37">
        <v>180</v>
      </c>
      <c r="U17" s="102">
        <f t="shared" si="6"/>
        <v>2160</v>
      </c>
    </row>
    <row r="18" spans="1:21" ht="16.5" customHeight="1">
      <c r="A18" s="16"/>
      <c r="B18" s="20"/>
      <c r="C18" s="20" t="s">
        <v>0</v>
      </c>
      <c r="D18" s="20"/>
      <c r="E18" s="20"/>
      <c r="F18" s="121"/>
      <c r="G18" s="20"/>
      <c r="H18" s="20"/>
      <c r="I18" s="53">
        <v>37.5</v>
      </c>
      <c r="J18" s="53">
        <v>40</v>
      </c>
      <c r="M18" s="13" t="s">
        <v>110</v>
      </c>
      <c r="N18" s="4" t="s">
        <v>71</v>
      </c>
      <c r="O18" s="45">
        <v>0.02</v>
      </c>
      <c r="Q18" s="114" t="s">
        <v>179</v>
      </c>
      <c r="R18" s="44">
        <v>0</v>
      </c>
      <c r="S18" s="37">
        <v>0</v>
      </c>
      <c r="T18" s="37">
        <v>0</v>
      </c>
      <c r="U18" s="105">
        <f t="shared" si="6"/>
        <v>0</v>
      </c>
    </row>
    <row r="19" spans="1:21" ht="16.5" customHeight="1">
      <c r="A19" s="16"/>
      <c r="B19" s="20"/>
      <c r="C19" s="20" t="s">
        <v>14</v>
      </c>
      <c r="D19" s="20"/>
      <c r="E19" s="20"/>
      <c r="F19" s="121" t="s">
        <v>81</v>
      </c>
      <c r="G19" s="252">
        <v>2.5000000000000001E-2</v>
      </c>
      <c r="H19" s="20"/>
      <c r="I19" s="54">
        <f>G19*I9</f>
        <v>58.881540000000001</v>
      </c>
      <c r="J19" s="54">
        <f>J9*G19</f>
        <v>61.327860000000015</v>
      </c>
      <c r="M19" s="13" t="s">
        <v>69</v>
      </c>
      <c r="N19" s="4" t="s">
        <v>70</v>
      </c>
      <c r="O19" s="100">
        <v>1250</v>
      </c>
      <c r="Q19" s="104"/>
      <c r="R19" s="32"/>
      <c r="S19" s="32"/>
      <c r="T19" s="104" t="s">
        <v>196</v>
      </c>
      <c r="U19" s="108">
        <f>SUM(U13:U18)</f>
        <v>7385.0750000000007</v>
      </c>
    </row>
    <row r="20" spans="1:21" ht="16.5" customHeight="1">
      <c r="A20" s="16"/>
      <c r="B20" s="20"/>
      <c r="C20" s="20" t="s">
        <v>23</v>
      </c>
      <c r="D20" s="20"/>
      <c r="E20" s="20"/>
      <c r="F20" s="121"/>
      <c r="G20" s="20"/>
      <c r="H20" s="20"/>
      <c r="I20" s="54">
        <f>(U19+O25*12)/O12</f>
        <v>183.70150000000001</v>
      </c>
      <c r="J20" s="54">
        <f t="shared" ref="J20:J25" si="9">I20</f>
        <v>183.70150000000001</v>
      </c>
      <c r="M20" s="13" t="s">
        <v>66</v>
      </c>
      <c r="N20" s="4" t="s">
        <v>74</v>
      </c>
      <c r="O20" s="101">
        <v>3500</v>
      </c>
    </row>
    <row r="21" spans="1:21" ht="16.5" customHeight="1">
      <c r="A21" s="16"/>
      <c r="B21" s="20"/>
      <c r="C21" s="20" t="s">
        <v>13</v>
      </c>
      <c r="D21" s="20"/>
      <c r="E21" s="20"/>
      <c r="F21" s="121" t="s">
        <v>100</v>
      </c>
      <c r="G21" s="31">
        <v>0.02</v>
      </c>
      <c r="H21" s="20"/>
      <c r="I21" s="54">
        <f>G21*((P33+N31*R31)/2)</f>
        <v>15.5</v>
      </c>
      <c r="J21" s="54">
        <f t="shared" si="9"/>
        <v>15.5</v>
      </c>
      <c r="M21" s="13" t="s">
        <v>79</v>
      </c>
      <c r="N21" s="4" t="s">
        <v>74</v>
      </c>
      <c r="O21" s="101">
        <v>4000</v>
      </c>
    </row>
    <row r="22" spans="1:21" ht="16.5" customHeight="1">
      <c r="A22" s="16"/>
      <c r="B22" s="120" t="s">
        <v>15</v>
      </c>
      <c r="C22" s="20" t="s">
        <v>65</v>
      </c>
      <c r="D22" s="20"/>
      <c r="E22" s="20"/>
      <c r="F22" s="121" t="s">
        <v>101</v>
      </c>
      <c r="G22" s="59">
        <f>O16</f>
        <v>0.12</v>
      </c>
      <c r="H22" s="20"/>
      <c r="I22" s="54">
        <f>O16*IF(O17=T23,'Replacement heifer'!I34,'Cow-calf (Fall)'!O21)</f>
        <v>480</v>
      </c>
      <c r="J22" s="54">
        <f t="shared" si="9"/>
        <v>480</v>
      </c>
      <c r="M22" s="13" t="s">
        <v>67</v>
      </c>
      <c r="N22" s="4" t="s">
        <v>74</v>
      </c>
      <c r="O22" s="101">
        <v>5000</v>
      </c>
    </row>
    <row r="23" spans="1:21" ht="16.5" customHeight="1">
      <c r="A23" s="23"/>
      <c r="B23" s="61"/>
      <c r="C23" s="20" t="s">
        <v>18</v>
      </c>
      <c r="D23" s="20"/>
      <c r="E23" s="20"/>
      <c r="F23" s="60"/>
      <c r="G23" s="61"/>
      <c r="H23" s="61"/>
      <c r="I23" s="54">
        <f>O22*O13/O12/O14+O23*O24/O12</f>
        <v>40</v>
      </c>
      <c r="J23" s="54">
        <f t="shared" si="9"/>
        <v>40</v>
      </c>
      <c r="M23" s="13" t="s">
        <v>105</v>
      </c>
      <c r="N23" s="4" t="s">
        <v>75</v>
      </c>
      <c r="O23" s="101">
        <v>40</v>
      </c>
      <c r="T23" s="217" t="s">
        <v>321</v>
      </c>
    </row>
    <row r="24" spans="1:21" ht="16.5" customHeight="1">
      <c r="A24" s="23"/>
      <c r="B24" s="20"/>
      <c r="C24" s="20" t="s">
        <v>2</v>
      </c>
      <c r="D24" s="20"/>
      <c r="E24" s="20"/>
      <c r="F24" s="51"/>
      <c r="G24" s="20"/>
      <c r="H24" s="61"/>
      <c r="I24" s="53">
        <v>10</v>
      </c>
      <c r="J24" s="54">
        <f t="shared" si="9"/>
        <v>10</v>
      </c>
      <c r="M24" s="13" t="s">
        <v>104</v>
      </c>
      <c r="N24" s="4" t="s">
        <v>106</v>
      </c>
      <c r="O24" s="100">
        <v>0</v>
      </c>
      <c r="T24" s="217" t="s">
        <v>322</v>
      </c>
    </row>
    <row r="25" spans="1:21" ht="16.5" customHeight="1">
      <c r="A25" s="16"/>
      <c r="B25" s="20"/>
      <c r="C25" s="20" t="s">
        <v>4</v>
      </c>
      <c r="D25" s="20"/>
      <c r="E25" s="20"/>
      <c r="F25" s="51"/>
      <c r="G25" s="20"/>
      <c r="H25" s="20"/>
      <c r="I25" s="53">
        <v>10</v>
      </c>
      <c r="J25" s="54">
        <f t="shared" si="9"/>
        <v>10</v>
      </c>
      <c r="M25" s="32" t="s">
        <v>35</v>
      </c>
      <c r="N25" s="89" t="s">
        <v>99</v>
      </c>
      <c r="O25" s="87">
        <v>150</v>
      </c>
    </row>
    <row r="26" spans="1:21" ht="16.5" customHeight="1" thickBot="1">
      <c r="A26" s="16"/>
      <c r="B26" s="20"/>
      <c r="C26" s="20" t="str">
        <f>"Operating interest"</f>
        <v>Operating interest</v>
      </c>
      <c r="D26" s="20"/>
      <c r="E26" s="20"/>
      <c r="F26" s="51"/>
      <c r="G26" s="20"/>
      <c r="H26" s="20"/>
      <c r="I26" s="29">
        <f>(SUM(I12:I25)-I19-I22)/2*Inputs!$F27</f>
        <v>42.748372121985149</v>
      </c>
      <c r="J26" s="29">
        <f>(SUM(J12:J25)-J19-J22)/2*Inputs!$F27</f>
        <v>42.838997121985145</v>
      </c>
    </row>
    <row r="27" spans="1:21" ht="16.5" customHeight="1">
      <c r="A27" s="16"/>
      <c r="B27" s="20"/>
      <c r="C27" s="2"/>
      <c r="D27" s="2"/>
      <c r="E27" s="2"/>
      <c r="F27" s="62"/>
      <c r="G27" s="2"/>
      <c r="H27" s="55" t="s">
        <v>28</v>
      </c>
      <c r="I27" s="63">
        <f>SUM(I12:I26)</f>
        <v>1760.8953499698514</v>
      </c>
      <c r="J27" s="63">
        <f>SUM(J12:J26)</f>
        <v>1765.9322949698515</v>
      </c>
      <c r="M27" s="33" t="s">
        <v>283</v>
      </c>
      <c r="N27" s="34"/>
      <c r="O27" s="34"/>
      <c r="P27" s="34"/>
      <c r="Q27" s="34"/>
      <c r="R27" s="35"/>
      <c r="S27" s="35"/>
      <c r="T27" s="35"/>
    </row>
    <row r="28" spans="1:21" ht="16.5" customHeight="1">
      <c r="A28" s="16"/>
      <c r="B28" s="2"/>
      <c r="C28" s="2"/>
      <c r="D28" s="2"/>
      <c r="E28" s="2"/>
      <c r="F28" s="62"/>
      <c r="G28" s="2"/>
      <c r="H28" s="2"/>
      <c r="I28" s="64"/>
      <c r="J28" s="64"/>
      <c r="M28" s="271" t="s">
        <v>190</v>
      </c>
      <c r="N28" s="273" t="s">
        <v>94</v>
      </c>
      <c r="O28" s="273" t="s">
        <v>149</v>
      </c>
      <c r="P28" s="273" t="s">
        <v>95</v>
      </c>
      <c r="Q28" s="273" t="s">
        <v>96</v>
      </c>
      <c r="R28" s="275" t="s">
        <v>6</v>
      </c>
      <c r="S28" s="273" t="s">
        <v>193</v>
      </c>
      <c r="T28" s="273" t="s">
        <v>184</v>
      </c>
    </row>
    <row r="29" spans="1:21" ht="16.5" customHeight="1">
      <c r="A29" s="16"/>
      <c r="B29" s="18" t="s">
        <v>27</v>
      </c>
      <c r="C29" s="17"/>
      <c r="D29" s="17"/>
      <c r="E29" s="17"/>
      <c r="F29" s="18" t="s">
        <v>38</v>
      </c>
      <c r="G29" s="18" t="s">
        <v>47</v>
      </c>
      <c r="H29" s="18" t="s">
        <v>48</v>
      </c>
      <c r="I29" s="19" t="s">
        <v>49</v>
      </c>
      <c r="J29" s="19" t="s">
        <v>49</v>
      </c>
      <c r="M29" s="272"/>
      <c r="N29" s="274"/>
      <c r="O29" s="274"/>
      <c r="P29" s="274"/>
      <c r="Q29" s="274"/>
      <c r="R29" s="276"/>
      <c r="S29" s="274"/>
      <c r="T29" s="274"/>
    </row>
    <row r="30" spans="1:21" ht="16.5" customHeight="1">
      <c r="A30" s="16"/>
      <c r="B30" s="69"/>
      <c r="C30" s="20" t="s">
        <v>315</v>
      </c>
      <c r="D30" s="20"/>
      <c r="E30" s="20"/>
      <c r="F30" s="51" t="s">
        <v>57</v>
      </c>
      <c r="G30" s="31">
        <v>0.01</v>
      </c>
      <c r="H30" s="2"/>
      <c r="I30" s="54">
        <f>G30*I9</f>
        <v>23.552615999999997</v>
      </c>
      <c r="J30" s="125">
        <f>G30*J9</f>
        <v>24.531144000000005</v>
      </c>
      <c r="M30" s="13" t="s">
        <v>92</v>
      </c>
      <c r="N30" s="44">
        <v>12500</v>
      </c>
      <c r="O30" s="45">
        <v>0.8</v>
      </c>
      <c r="P30" s="27">
        <f>N30*O30/$O$12</f>
        <v>200</v>
      </c>
      <c r="Q30" s="37">
        <v>30</v>
      </c>
      <c r="R30" s="45">
        <v>0.25</v>
      </c>
      <c r="S30" s="27">
        <f>(N30-(R30*N30))/Q30+(N30+N30*R30)/2*(Inputs!$F$28)*O30</f>
        <v>750</v>
      </c>
      <c r="T30" s="27">
        <f>S30/$O$12</f>
        <v>15</v>
      </c>
    </row>
    <row r="31" spans="1:21" ht="16.5" customHeight="1">
      <c r="A31" s="16"/>
      <c r="B31" s="126" t="s">
        <v>16</v>
      </c>
      <c r="C31" s="20" t="s">
        <v>314</v>
      </c>
      <c r="D31" s="20"/>
      <c r="E31" s="20"/>
      <c r="F31" s="51"/>
      <c r="G31" s="20"/>
      <c r="H31" s="20"/>
      <c r="I31" s="65">
        <f>T46</f>
        <v>10</v>
      </c>
      <c r="J31" s="65">
        <f>I31</f>
        <v>10</v>
      </c>
      <c r="M31" s="13" t="s">
        <v>93</v>
      </c>
      <c r="N31" s="44">
        <v>5000</v>
      </c>
      <c r="O31" s="45">
        <v>1</v>
      </c>
      <c r="P31" s="27">
        <f>N31*O31/$O$12</f>
        <v>100</v>
      </c>
      <c r="Q31" s="37">
        <v>20</v>
      </c>
      <c r="R31" s="45">
        <v>0.25</v>
      </c>
      <c r="S31" s="27">
        <f>(N31-(R31*N31))/Q31+(N31+N31*R31)/2*(Inputs!$F$28)*O31</f>
        <v>406.25</v>
      </c>
      <c r="T31" s="27">
        <f>S31/$O$12</f>
        <v>8.125</v>
      </c>
    </row>
    <row r="32" spans="1:21" ht="16.5" customHeight="1">
      <c r="A32" s="16"/>
      <c r="B32" s="126"/>
      <c r="C32" s="20" t="s">
        <v>313</v>
      </c>
      <c r="D32" s="20"/>
      <c r="E32" s="20"/>
      <c r="F32" s="51"/>
      <c r="G32" s="20"/>
      <c r="H32" s="20"/>
      <c r="I32" s="65">
        <f>(O12*(1-O16)*O20+O16*O12*O21+O13*O22)/O12*Inputs!F27</f>
        <v>272.59999999999997</v>
      </c>
      <c r="J32" s="65">
        <f>I32</f>
        <v>272.59999999999997</v>
      </c>
      <c r="M32" s="113" t="s">
        <v>179</v>
      </c>
      <c r="N32" s="87">
        <v>0</v>
      </c>
      <c r="O32" s="45">
        <v>0</v>
      </c>
      <c r="P32" s="43">
        <f>N32*O32/$O$12</f>
        <v>0</v>
      </c>
      <c r="Q32" s="241">
        <v>0.01</v>
      </c>
      <c r="R32" s="45">
        <v>0</v>
      </c>
      <c r="S32" s="43">
        <f>IFERROR((N32-(R32*N32))/Q32+(N32+N32*R32)/2*(Inputs!$F$28)*O32,0)</f>
        <v>0</v>
      </c>
      <c r="T32" s="43">
        <f>S32/$O$12</f>
        <v>0</v>
      </c>
    </row>
    <row r="33" spans="1:20" ht="16.5" customHeight="1">
      <c r="A33" s="21"/>
      <c r="B33" s="20"/>
      <c r="C33" s="20" t="s">
        <v>316</v>
      </c>
      <c r="D33" s="20"/>
      <c r="E33" s="20"/>
      <c r="F33" s="51"/>
      <c r="G33" s="20"/>
      <c r="H33" s="20"/>
      <c r="I33" s="65">
        <f>E61</f>
        <v>13.125</v>
      </c>
      <c r="J33" s="65">
        <f>I33</f>
        <v>13.125</v>
      </c>
      <c r="M33" s="104" t="s">
        <v>1</v>
      </c>
      <c r="N33" s="111">
        <f>SUM(N30:N32)</f>
        <v>17500</v>
      </c>
      <c r="O33" s="111"/>
      <c r="P33" s="111">
        <f>SUM(P30:P32)</f>
        <v>300</v>
      </c>
      <c r="Q33" s="110"/>
      <c r="R33" s="110"/>
      <c r="S33" s="111">
        <f>SUM(S30:S32)</f>
        <v>1156.25</v>
      </c>
      <c r="T33" s="111">
        <f>SUM(T30:T32)</f>
        <v>23.125</v>
      </c>
    </row>
    <row r="34" spans="1:20" ht="16.5" customHeight="1">
      <c r="A34" s="16"/>
      <c r="B34" s="20"/>
      <c r="C34" s="20" t="s">
        <v>172</v>
      </c>
      <c r="D34" s="20"/>
      <c r="E34" s="20"/>
      <c r="F34" s="51"/>
      <c r="G34" s="20"/>
      <c r="H34" s="20"/>
      <c r="I34" s="30">
        <f>M38*(Inputs!F31)/O12+P33*(Inputs!F29+Inputs!F30)</f>
        <v>39.909999999999997</v>
      </c>
      <c r="J34" s="30">
        <f>I34</f>
        <v>39.909999999999997</v>
      </c>
    </row>
    <row r="35" spans="1:20" ht="16.5" customHeight="1">
      <c r="A35" s="16"/>
      <c r="B35" s="20"/>
      <c r="C35" s="20"/>
      <c r="D35" s="20"/>
      <c r="E35" s="20"/>
      <c r="F35" s="20"/>
      <c r="G35" s="20"/>
      <c r="H35" s="55" t="s">
        <v>29</v>
      </c>
      <c r="I35" s="56">
        <f>SUM(I30:I34)</f>
        <v>359.18761599999993</v>
      </c>
      <c r="J35" s="56">
        <f>SUM(J30:J34)</f>
        <v>360.16614399999992</v>
      </c>
    </row>
    <row r="36" spans="1:20" ht="16.5" customHeight="1">
      <c r="A36" s="16"/>
      <c r="B36" s="20"/>
      <c r="C36" s="20"/>
      <c r="D36" s="20"/>
      <c r="E36" s="20"/>
      <c r="F36" s="20"/>
      <c r="G36" s="20"/>
      <c r="H36" s="20"/>
      <c r="I36" s="66"/>
      <c r="J36" s="66"/>
    </row>
    <row r="37" spans="1:20" ht="16.5" customHeight="1">
      <c r="A37" s="16"/>
      <c r="B37" s="69"/>
      <c r="C37" s="20"/>
      <c r="D37" s="20"/>
      <c r="E37" s="20"/>
      <c r="F37" s="20"/>
      <c r="G37" s="20"/>
      <c r="H37" s="67" t="s">
        <v>318</v>
      </c>
      <c r="I37" s="63">
        <f>I38-SUM(I33,I32,I31,I17,I30)</f>
        <v>1624.8053499698512</v>
      </c>
      <c r="J37" s="63">
        <f>J38-SUM(J33,J32,J31,J17,J30)</f>
        <v>1629.8422949698515</v>
      </c>
    </row>
    <row r="38" spans="1:20" ht="16.5" customHeight="1">
      <c r="A38" s="16"/>
      <c r="B38" s="20"/>
      <c r="C38" s="20"/>
      <c r="D38" s="20"/>
      <c r="E38" s="20"/>
      <c r="F38" s="20"/>
      <c r="G38" s="20"/>
      <c r="H38" s="67" t="s">
        <v>30</v>
      </c>
      <c r="I38" s="68">
        <f>I27+I35</f>
        <v>2120.0829659698511</v>
      </c>
      <c r="J38" s="68">
        <f>J27+J35</f>
        <v>2126.0984389698515</v>
      </c>
      <c r="M38" s="220">
        <f>O20*O12+O22*O13</f>
        <v>185000</v>
      </c>
      <c r="N38" s="36"/>
      <c r="O38" s="36"/>
      <c r="P38" s="36"/>
    </row>
    <row r="39" spans="1:20" ht="16.5" customHeight="1">
      <c r="A39" s="16"/>
      <c r="B39" s="208" t="s">
        <v>264</v>
      </c>
      <c r="C39" s="127"/>
      <c r="D39" s="127"/>
      <c r="E39" s="127"/>
      <c r="F39" s="127"/>
      <c r="G39" s="127"/>
      <c r="H39" s="127"/>
      <c r="I39" s="209">
        <f>I9-I37</f>
        <v>730.45625003014857</v>
      </c>
      <c r="J39" s="209">
        <f>J9-J37</f>
        <v>823.27210503014885</v>
      </c>
      <c r="M39" s="36"/>
      <c r="N39" s="36"/>
      <c r="O39" s="36"/>
      <c r="P39" s="36"/>
    </row>
    <row r="40" spans="1:20" ht="16.5" customHeight="1">
      <c r="A40" s="16"/>
      <c r="B40" s="119" t="s">
        <v>191</v>
      </c>
      <c r="E40" s="69"/>
      <c r="F40" s="20"/>
      <c r="G40" s="20"/>
      <c r="H40" s="20"/>
      <c r="I40" s="56">
        <f>I9-I27</f>
        <v>594.36625003014842</v>
      </c>
      <c r="J40" s="56">
        <f>J9-J27</f>
        <v>687.18210503014893</v>
      </c>
      <c r="M40" s="36"/>
      <c r="N40" s="36"/>
      <c r="O40" s="36"/>
    </row>
    <row r="41" spans="1:20" ht="16.5" customHeight="1">
      <c r="A41" s="16"/>
      <c r="B41" s="218" t="s">
        <v>192</v>
      </c>
      <c r="C41" s="32"/>
      <c r="D41" s="32"/>
      <c r="E41" s="128"/>
      <c r="F41" s="14"/>
      <c r="G41" s="14"/>
      <c r="H41" s="14"/>
      <c r="I41" s="129">
        <f>I9-I38</f>
        <v>235.17863403014871</v>
      </c>
      <c r="J41" s="129">
        <f>J9-J38</f>
        <v>327.0159610301489</v>
      </c>
      <c r="M41" s="36"/>
      <c r="N41" s="36"/>
      <c r="O41" s="36"/>
    </row>
    <row r="42" spans="1:20" ht="16.5" customHeight="1">
      <c r="A42" s="16"/>
      <c r="B42" s="244" t="s">
        <v>335</v>
      </c>
      <c r="C42" s="245"/>
      <c r="D42" s="245"/>
      <c r="E42" s="18"/>
      <c r="F42" s="17"/>
      <c r="G42" s="17"/>
      <c r="H42" s="17"/>
      <c r="I42" s="246">
        <f>I37/AVERAGE($G$5,$G$6)</f>
        <v>285.05357017014933</v>
      </c>
      <c r="J42" s="246">
        <f>J37/AVERAGE($G$5,$G$6)</f>
        <v>285.93724473155288</v>
      </c>
      <c r="M42" s="36"/>
      <c r="N42" s="36"/>
      <c r="O42" s="36"/>
    </row>
    <row r="43" spans="1:20" ht="16.5" customHeight="1">
      <c r="A43" s="16"/>
      <c r="C43" s="210" t="s">
        <v>342</v>
      </c>
      <c r="E43" s="69"/>
      <c r="F43" s="20"/>
      <c r="G43" s="20"/>
      <c r="H43" s="20"/>
      <c r="I43" s="56"/>
      <c r="J43" s="56"/>
      <c r="L43" s="25"/>
      <c r="M43" s="36"/>
      <c r="N43" s="36"/>
      <c r="O43" s="36"/>
    </row>
    <row r="44" spans="1:20" ht="16.5" customHeight="1">
      <c r="A44" s="16"/>
      <c r="B44" s="20"/>
      <c r="C44" s="20"/>
      <c r="D44" s="20"/>
      <c r="E44" s="20"/>
      <c r="F44" s="20"/>
      <c r="G44" s="20"/>
      <c r="H44" s="20"/>
      <c r="I44" s="24"/>
      <c r="J44" s="24"/>
      <c r="L44" s="25"/>
      <c r="M44" s="36"/>
      <c r="N44" s="36"/>
      <c r="O44" s="36"/>
    </row>
    <row r="45" spans="1:20" ht="16.5" customHeight="1">
      <c r="A45" s="16"/>
      <c r="B45" s="132" t="s">
        <v>284</v>
      </c>
      <c r="C45" s="133"/>
      <c r="D45" s="133"/>
      <c r="E45" s="133"/>
      <c r="F45" s="133"/>
      <c r="G45" s="133"/>
      <c r="H45" s="133"/>
      <c r="I45" s="134"/>
      <c r="J45" s="135"/>
      <c r="K45" s="24"/>
      <c r="L45" s="26"/>
    </row>
    <row r="46" spans="1:20" ht="16.5" customHeight="1">
      <c r="A46" s="16"/>
      <c r="B46" s="145"/>
      <c r="D46" s="286" t="s">
        <v>125</v>
      </c>
      <c r="E46" s="286"/>
      <c r="F46" s="286"/>
      <c r="G46" s="286"/>
      <c r="H46" s="286"/>
      <c r="I46" s="286"/>
      <c r="J46" s="287"/>
      <c r="L46" s="72"/>
      <c r="T46" s="217">
        <f>((N30-(R30*N30))/Q30+(N31-(R31*N31))/Q31+(N32-(R32*N32))/Q32)/O12</f>
        <v>10</v>
      </c>
    </row>
    <row r="47" spans="1:20" ht="16.5" customHeight="1">
      <c r="B47" s="281"/>
      <c r="C47" s="283" t="s">
        <v>197</v>
      </c>
      <c r="D47" s="136"/>
      <c r="E47" s="141">
        <f>H47*0.85</f>
        <v>0.748</v>
      </c>
      <c r="F47" s="141">
        <f>H47*0.9</f>
        <v>0.79200000000000004</v>
      </c>
      <c r="G47" s="141">
        <f>H47*0.95</f>
        <v>0.83599999999999997</v>
      </c>
      <c r="H47" s="142">
        <f>MIN(I3,1)</f>
        <v>0.88</v>
      </c>
      <c r="I47" s="141">
        <f>MIN(H47*1.05,1)</f>
        <v>0.92400000000000004</v>
      </c>
      <c r="J47" s="146">
        <f>MIN(H47*1.1,1)</f>
        <v>0.96800000000000008</v>
      </c>
      <c r="K47" s="131"/>
    </row>
    <row r="48" spans="1:20" ht="16.5" customHeight="1">
      <c r="B48" s="281"/>
      <c r="C48" s="284"/>
      <c r="D48" s="137">
        <f>D51*0.7</f>
        <v>300.42526315789473</v>
      </c>
      <c r="E48" s="143">
        <f>$D48*AVERAGE($G$5:$G$6)*E$47+$I$7-($I$27-$I$19-$I$26-$I$17+($D48*AVERAGE($G$5:$G$6)*E$47+$I$7)*$G$21+$I$34)-Inputs!$F$27*($I$27-$I$22-$I$19-$I$26+($D48*AVERAGE($G$5:$G$6)*E$47+$I$7)*$G$21)/2</f>
        <v>-113.2739810450515</v>
      </c>
      <c r="F48" s="143">
        <f>$D48*AVERAGE($G$5:$G$6)*F$47+$I$7-($I$27-$I$19-$I$26-$I$17+($D48*AVERAGE($G$5:$G$6)*F$47+$I$7)*$G$21+$I$34)-Inputs!$F$27*($I$27-$I$22-$I$19-$I$26+($D48*AVERAGE($G$5:$G$6)*F$47+$I$7)*$G$21)/2</f>
        <v>-39.488884490651323</v>
      </c>
      <c r="G48" s="143">
        <f>$D48*AVERAGE($G$5:$G$6)*G$47+$I$7-($I$27-$I$19-$I$26-$I$17+($D48*AVERAGE($G$5:$G$6)*G$47+$I$7)*$G$21+$I$34)-Inputs!$F$27*($I$27-$I$22-$I$19-$I$26+($D48*AVERAGE($G$5:$G$6)*G$47+$I$7)*$G$21)/2</f>
        <v>34.296212063748627</v>
      </c>
      <c r="H48" s="143">
        <f>$D48*AVERAGE($G$5:$G$6)*H$47+$I$7-($I$27-$I$19-$I$26-$I$17+($D48*AVERAGE($G$5:$G$6)*H$47+$I$7)*$G$21+$I$34)-Inputs!$F$27*($I$27-$I$22-$I$19-$I$26+($D48*AVERAGE($G$5:$G$6)*H$47+$I$7)*$G$21)/2</f>
        <v>108.08130861814834</v>
      </c>
      <c r="I48" s="143">
        <f>$D48*AVERAGE($G$5:$G$6)*I$47+$I$7-($I$27-$I$19-$I$26-$I$17+($D48*AVERAGE($G$5:$G$6)*I$47+$I$7)*$G$21+$I$34)-Inputs!$F$27*($I$27-$I$22-$I$19-$I$26+($D48*AVERAGE($G$5:$G$6)*I$47+$I$7)*$G$21)/2</f>
        <v>181.86640517254853</v>
      </c>
      <c r="J48" s="143">
        <f>$D48*AVERAGE($G$5:$G$6)*J$47+$I$7-($I$27-$I$19-$I$26-$I$17+($D48*AVERAGE($G$5:$G$6)*J$47+$I$7)*$G$21+$I$34)-Inputs!$F$27*($I$27-$I$22-$I$19-$I$26+($D48*AVERAGE($G$5:$G$6)*J$47+$I$7)*$G$21)/2</f>
        <v>255.65150172694848</v>
      </c>
    </row>
    <row r="49" spans="2:12" ht="16.5" customHeight="1">
      <c r="B49" s="281"/>
      <c r="C49" s="284"/>
      <c r="D49" s="137">
        <f>D51*0.8</f>
        <v>343.34315789473686</v>
      </c>
      <c r="E49" s="143">
        <f>$D49*AVERAGE($G$5:$G$6)*E$47+$I$7-($I$27-$I$19-$I$26-$I$17+($D49*AVERAGE($G$5:$G$6)*E$47+$I$7)*$G$21+$I$34)-Inputs!$F$27*($I$27-$I$22-$I$19-$I$26+($D49*AVERAGE($G$5:$G$6)*E$47+$I$7)*$G$21)/2</f>
        <v>65.918396301348764</v>
      </c>
      <c r="F49" s="143">
        <f>$D49*AVERAGE($G$5:$G$6)*F$47+$I$7-($I$27-$I$19-$I$26-$I$17+($D49*AVERAGE($G$5:$G$6)*F$47+$I$7)*$G$21+$I$34)-Inputs!$F$27*($I$27-$I$22-$I$19-$I$26+($D49*AVERAGE($G$5:$G$6)*F$47+$I$7)*$G$21)/2</f>
        <v>150.24422093494883</v>
      </c>
      <c r="G49" s="143">
        <f>$D49*AVERAGE($G$5:$G$6)*G$47+$I$7-($I$27-$I$19-$I$26-$I$17+($D49*AVERAGE($G$5:$G$6)*G$47+$I$7)*$G$21+$I$34)-Inputs!$F$27*($I$27-$I$22-$I$19-$I$26+($D49*AVERAGE($G$5:$G$6)*G$47+$I$7)*$G$21)/2</f>
        <v>234.57004556854869</v>
      </c>
      <c r="H49" s="143">
        <f>$D49*AVERAGE($G$5:$G$6)*H$47+$I$7-($I$27-$I$19-$I$26-$I$17+($D49*AVERAGE($G$5:$G$6)*H$47+$I$7)*$G$21+$I$34)-Inputs!$F$27*($I$27-$I$22-$I$19-$I$26+($D49*AVERAGE($G$5:$G$6)*H$47+$I$7)*$G$21)/2</f>
        <v>318.89587020214879</v>
      </c>
      <c r="I49" s="143">
        <f>$D49*AVERAGE($G$5:$G$6)*I$47+$I$7-($I$27-$I$19-$I$26-$I$17+($D49*AVERAGE($G$5:$G$6)*I$47+$I$7)*$G$21+$I$34)-Inputs!$F$27*($I$27-$I$22-$I$19-$I$26+($D49*AVERAGE($G$5:$G$6)*I$47+$I$7)*$G$21)/2</f>
        <v>403.22169483574885</v>
      </c>
      <c r="J49" s="143">
        <f>$D49*AVERAGE($G$5:$G$6)*J$47+$I$7-($I$27-$I$19-$I$26-$I$17+($D49*AVERAGE($G$5:$G$6)*J$47+$I$7)*$G$21+$I$34)-Inputs!$F$27*($I$27-$I$22-$I$19-$I$26+($D49*AVERAGE($G$5:$G$6)*J$47+$I$7)*$G$21)/2</f>
        <v>487.54751946934869</v>
      </c>
    </row>
    <row r="50" spans="2:12" ht="16.5" customHeight="1">
      <c r="B50" s="281"/>
      <c r="C50" s="284"/>
      <c r="D50" s="137">
        <f>D51*0.9</f>
        <v>386.26105263157899</v>
      </c>
      <c r="E50" s="143">
        <f>$D50*AVERAGE($G$5:$G$6)*E$47+$I$7-($I$27-$I$19-$I$26-$I$17+($D50*AVERAGE($G$5:$G$6)*E$47+$I$7)*$G$21+$I$34)-Inputs!$F$27*($I$27-$I$22-$I$19-$I$26+($D50*AVERAGE($G$5:$G$6)*E$47+$I$7)*$G$21)/2</f>
        <v>245.1107736477486</v>
      </c>
      <c r="F50" s="143">
        <f>$D50*AVERAGE($G$5:$G$6)*F$47+$I$7-($I$27-$I$19-$I$26-$I$17+($D50*AVERAGE($G$5:$G$6)*F$47+$I$7)*$G$21+$I$34)-Inputs!$F$27*($I$27-$I$22-$I$19-$I$26+($D50*AVERAGE($G$5:$G$6)*F$47+$I$7)*$G$21)/2</f>
        <v>339.97732636054855</v>
      </c>
      <c r="G50" s="143">
        <f>$D50*AVERAGE($G$5:$G$6)*G$47+$I$7-($I$27-$I$19-$I$26-$I$17+($D50*AVERAGE($G$5:$G$6)*G$47+$I$7)*$G$21+$I$34)-Inputs!$F$27*($I$27-$I$22-$I$19-$I$26+($D50*AVERAGE($G$5:$G$6)*G$47+$I$7)*$G$21)/2</f>
        <v>434.84387907334855</v>
      </c>
      <c r="H50" s="143">
        <f>$D50*AVERAGE($G$5:$G$6)*H$47+$I$7-($I$27-$I$19-$I$26-$I$17+($D50*AVERAGE($G$5:$G$6)*H$47+$I$7)*$G$21+$I$34)-Inputs!$F$27*($I$27-$I$22-$I$19-$I$26+($D50*AVERAGE($G$5:$G$6)*H$47+$I$7)*$G$21)/2</f>
        <v>529.71043178614855</v>
      </c>
      <c r="I50" s="143">
        <f>$D50*AVERAGE($G$5:$G$6)*I$47+$I$7-($I$27-$I$19-$I$26-$I$17+($D50*AVERAGE($G$5:$G$6)*I$47+$I$7)*$G$21+$I$34)-Inputs!$F$27*($I$27-$I$22-$I$19-$I$26+($D50*AVERAGE($G$5:$G$6)*I$47+$I$7)*$G$21)/2</f>
        <v>624.57698449894849</v>
      </c>
      <c r="J50" s="143">
        <f>$D50*AVERAGE($G$5:$G$6)*J$47+$I$7-($I$27-$I$19-$I$26-$I$17+($D50*AVERAGE($G$5:$G$6)*J$47+$I$7)*$G$21+$I$34)-Inputs!$F$27*($I$27-$I$22-$I$19-$I$26+($D50*AVERAGE($G$5:$G$6)*J$47+$I$7)*$G$21)/2</f>
        <v>719.44353721174889</v>
      </c>
    </row>
    <row r="51" spans="2:12" ht="16.5" customHeight="1">
      <c r="B51" s="281"/>
      <c r="C51" s="284"/>
      <c r="D51" s="138">
        <f>SUMPRODUCT(G5:G6,H5:H6)/11.4</f>
        <v>429.17894736842106</v>
      </c>
      <c r="E51" s="143">
        <f>$D51*AVERAGE($G$5:$G$6)*E$47+$I$7-($I$27-$I$19-$I$26-$I$17+($D51*AVERAGE($G$5:$G$6)*E$47+$I$7)*$G$21+$I$34)-Inputs!$F$27*($I$27-$I$22-$I$19-$I$26+($D51*AVERAGE($G$5:$G$6)*E$47+$I$7)*$G$21)/2</f>
        <v>424.30315099414861</v>
      </c>
      <c r="F51" s="143">
        <f>$D51*AVERAGE($G$5:$G$6)*F$47+$I$7-($I$27-$I$19-$I$26-$I$17+($D51*AVERAGE($G$5:$G$6)*F$47+$I$7)*$G$21+$I$34)-Inputs!$F$27*($I$27-$I$22-$I$19-$I$26+($D51*AVERAGE($G$5:$G$6)*F$47+$I$7)*$G$21)/2</f>
        <v>529.71043178614855</v>
      </c>
      <c r="G51" s="143">
        <f>$D51*AVERAGE($G$5:$G$6)*G$47+$I$7-($I$27-$I$19-$I$26-$I$17+($D51*AVERAGE($G$5:$G$6)*G$47+$I$7)*$G$21+$I$34)-Inputs!$F$27*($I$27-$I$22-$I$19-$I$26+($D51*AVERAGE($G$5:$G$6)*G$47+$I$7)*$G$21)/2</f>
        <v>635.1177125781486</v>
      </c>
      <c r="H51" s="144">
        <f>$D51*AVERAGE($G$5:$G$6)*H$47+$I$7-($I$27-$I$19-$I$26-$I$17+($D51*AVERAGE($G$5:$G$6)*H$47+$I$7)*$G$21+$I$34)-Inputs!$F$27*($I$27-$I$22-$I$19-$I$26+($D51*AVERAGE($G$5:$G$6)*H$47+$I$7)*$G$21)/2</f>
        <v>740.52499337014865</v>
      </c>
      <c r="I51" s="143">
        <f>$D51*AVERAGE($G$5:$G$6)*I$47+$I$7-($I$27-$I$19-$I$26-$I$17+($D51*AVERAGE($G$5:$G$6)*I$47+$I$7)*$G$21+$I$34)-Inputs!$F$27*($I$27-$I$22-$I$19-$I$26+($D51*AVERAGE($G$5:$G$6)*I$47+$I$7)*$G$21)/2</f>
        <v>845.93227416214904</v>
      </c>
      <c r="J51" s="143">
        <f>$D51*AVERAGE($G$5:$G$6)*J$47+$I$7-($I$27-$I$19-$I$26-$I$17+($D51*AVERAGE($G$5:$G$6)*J$47+$I$7)*$G$21+$I$34)-Inputs!$F$27*($I$27-$I$22-$I$19-$I$26+($D51*AVERAGE($G$5:$G$6)*J$47+$I$7)*$G$21)/2</f>
        <v>951.33955495414864</v>
      </c>
    </row>
    <row r="52" spans="2:12" ht="16.5" customHeight="1">
      <c r="B52" s="281"/>
      <c r="C52" s="284"/>
      <c r="D52" s="137">
        <f>D51*1.1</f>
        <v>472.09684210526319</v>
      </c>
      <c r="E52" s="143">
        <f>$D52*AVERAGE($G$5:$G$6)*E$47+$I$7-($I$27-$I$19-$I$26-$I$17+($D52*AVERAGE($G$5:$G$6)*E$47+$I$7)*$G$21+$I$34)-Inputs!$F$27*($I$27-$I$22-$I$19-$I$26+($D52*AVERAGE($G$5:$G$6)*E$47+$I$7)*$G$21)/2</f>
        <v>603.49552834054873</v>
      </c>
      <c r="F52" s="143">
        <f>$D52*AVERAGE($G$5:$G$6)*F$47+$I$7-($I$27-$I$19-$I$26-$I$17+($D52*AVERAGE($G$5:$G$6)*F$47+$I$7)*$G$21+$I$34)-Inputs!$F$27*($I$27-$I$22-$I$19-$I$26+($D52*AVERAGE($G$5:$G$6)*F$47+$I$7)*$G$21)/2</f>
        <v>719.44353721174889</v>
      </c>
      <c r="G52" s="143">
        <f>$D52*AVERAGE($G$5:$G$6)*G$47+$I$7-($I$27-$I$19-$I$26-$I$17+($D52*AVERAGE($G$5:$G$6)*G$47+$I$7)*$G$21+$I$34)-Inputs!$F$27*($I$27-$I$22-$I$19-$I$26+($D52*AVERAGE($G$5:$G$6)*G$47+$I$7)*$G$21)/2</f>
        <v>835.39154608294893</v>
      </c>
      <c r="H52" s="143">
        <f>$D52*AVERAGE($G$5:$G$6)*H$47+$I$7-($I$27-$I$19-$I$26-$I$17+($D52*AVERAGE($G$5:$G$6)*H$47+$I$7)*$G$21+$I$34)-Inputs!$F$27*($I$27-$I$22-$I$19-$I$26+($D52*AVERAGE($G$5:$G$6)*H$47+$I$7)*$G$21)/2</f>
        <v>951.33955495414864</v>
      </c>
      <c r="I52" s="143">
        <f>$D52*AVERAGE($G$5:$G$6)*I$47+$I$7-($I$27-$I$19-$I$26-$I$17+($D52*AVERAGE($G$5:$G$6)*I$47+$I$7)*$G$21+$I$34)-Inputs!$F$27*($I$27-$I$22-$I$19-$I$26+($D52*AVERAGE($G$5:$G$6)*I$47+$I$7)*$G$21)/2</f>
        <v>1067.287563825349</v>
      </c>
      <c r="J52" s="143">
        <f>$D52*AVERAGE($G$5:$G$6)*J$47+$I$7-($I$27-$I$19-$I$26-$I$17+($D52*AVERAGE($G$5:$G$6)*J$47+$I$7)*$G$21+$I$34)-Inputs!$F$27*($I$27-$I$22-$I$19-$I$26+($D52*AVERAGE($G$5:$G$6)*J$47+$I$7)*$G$21)/2</f>
        <v>1183.2355726965488</v>
      </c>
    </row>
    <row r="53" spans="2:12" ht="16.5" customHeight="1">
      <c r="B53" s="281"/>
      <c r="C53" s="284"/>
      <c r="D53" s="137">
        <f>D51*1.2</f>
        <v>515.01473684210521</v>
      </c>
      <c r="E53" s="143">
        <f>$D53*AVERAGE($G$5:$G$6)*E$47+$I$7-($I$27-$I$19-$I$26-$I$17+($D53*AVERAGE($G$5:$G$6)*E$47+$I$7)*$G$21+$I$34)-Inputs!$F$27*($I$27-$I$22-$I$19-$I$26+($D53*AVERAGE($G$5:$G$6)*E$47+$I$7)*$G$21)/2</f>
        <v>782.68790568694851</v>
      </c>
      <c r="F53" s="143">
        <f>$D53*AVERAGE($G$5:$G$6)*F$47+$I$7-($I$27-$I$19-$I$26-$I$17+($D53*AVERAGE($G$5:$G$6)*F$47+$I$7)*$G$21+$I$34)-Inputs!$F$27*($I$27-$I$22-$I$19-$I$26+($D53*AVERAGE($G$5:$G$6)*F$47+$I$7)*$G$21)/2</f>
        <v>909.17664263734866</v>
      </c>
      <c r="G53" s="143">
        <f>$D53*AVERAGE($G$5:$G$6)*G$47+$I$7-($I$27-$I$19-$I$26-$I$17+($D53*AVERAGE($G$5:$G$6)*G$47+$I$7)*$G$21+$I$34)-Inputs!$F$27*($I$27-$I$22-$I$19-$I$26+($D53*AVERAGE($G$5:$G$6)*G$47+$I$7)*$G$21)/2</f>
        <v>1035.665379587748</v>
      </c>
      <c r="H53" s="143">
        <f>$D53*AVERAGE($G$5:$G$6)*H$47+$I$7-($I$27-$I$19-$I$26-$I$17+($D53*AVERAGE($G$5:$G$6)*H$47+$I$7)*$G$21+$I$34)-Inputs!$F$27*($I$27-$I$22-$I$19-$I$26+($D53*AVERAGE($G$5:$G$6)*H$47+$I$7)*$G$21)/2</f>
        <v>1162.1541165381486</v>
      </c>
      <c r="I53" s="143">
        <f>$D53*AVERAGE($G$5:$G$6)*I$47+$I$7-($I$27-$I$19-$I$26-$I$17+($D53*AVERAGE($G$5:$G$6)*I$47+$I$7)*$G$21+$I$34)-Inputs!$F$27*($I$27-$I$22-$I$19-$I$26+($D53*AVERAGE($G$5:$G$6)*I$47+$I$7)*$G$21)/2</f>
        <v>1288.6428534885486</v>
      </c>
      <c r="J53" s="143">
        <f>$D53*AVERAGE($G$5:$G$6)*J$47+$I$7-($I$27-$I$19-$I$26-$I$17+($D53*AVERAGE($G$5:$G$6)*J$47+$I$7)*$G$21+$I$34)-Inputs!$F$27*($I$27-$I$22-$I$19-$I$26+($D53*AVERAGE($G$5:$G$6)*J$47+$I$7)*$G$21)/2</f>
        <v>1415.1315904389487</v>
      </c>
    </row>
    <row r="54" spans="2:12" ht="16.5" customHeight="1">
      <c r="B54" s="282"/>
      <c r="C54" s="285"/>
      <c r="D54" s="147">
        <f>D51*1.3</f>
        <v>557.93263157894739</v>
      </c>
      <c r="E54" s="143">
        <f>$D54*AVERAGE($G$5:$G$6)*E$47+$I$7-($I$27-$I$19-$I$26-$I$17+($D54*AVERAGE($G$5:$G$6)*E$47+$I$7)*$G$21+$I$34)-Inputs!$F$27*($I$27-$I$22-$I$19-$I$26+($D54*AVERAGE($G$5:$G$6)*E$47+$I$7)*$G$21)/2</f>
        <v>961.88028303334875</v>
      </c>
      <c r="F54" s="143">
        <f>$D54*AVERAGE($G$5:$G$6)*F$47+$I$7-($I$27-$I$19-$I$26-$I$17+($D54*AVERAGE($G$5:$G$6)*F$47+$I$7)*$G$21+$I$34)-Inputs!$F$27*($I$27-$I$22-$I$19-$I$26+($D54*AVERAGE($G$5:$G$6)*F$47+$I$7)*$G$21)/2</f>
        <v>1098.9097480629491</v>
      </c>
      <c r="G54" s="143">
        <f>$D54*AVERAGE($G$5:$G$6)*G$47+$I$7-($I$27-$I$19-$I$26-$I$17+($D54*AVERAGE($G$5:$G$6)*G$47+$I$7)*$G$21+$I$34)-Inputs!$F$27*($I$27-$I$22-$I$19-$I$26+($D54*AVERAGE($G$5:$G$6)*G$47+$I$7)*$G$21)/2</f>
        <v>1235.9392130925489</v>
      </c>
      <c r="H54" s="143">
        <f>$D54*AVERAGE($G$5:$G$6)*H$47+$I$7-($I$27-$I$19-$I$26-$I$17+($D54*AVERAGE($G$5:$G$6)*H$47+$I$7)*$G$21+$I$34)-Inputs!$F$27*($I$27-$I$22-$I$19-$I$26+($D54*AVERAGE($G$5:$G$6)*H$47+$I$7)*$G$21)/2</f>
        <v>1372.9686781221487</v>
      </c>
      <c r="I54" s="143">
        <f>$D54*AVERAGE($G$5:$G$6)*I$47+$I$7-($I$27-$I$19-$I$26-$I$17+($D54*AVERAGE($G$5:$G$6)*I$47+$I$7)*$G$21+$I$34)-Inputs!$F$27*($I$27-$I$22-$I$19-$I$26+($D54*AVERAGE($G$5:$G$6)*I$47+$I$7)*$G$21)/2</f>
        <v>1509.998143151749</v>
      </c>
      <c r="J54" s="143">
        <f>$D54*AVERAGE($G$5:$G$6)*J$47+$I$7-($I$27-$I$19-$I$26-$I$17+($D54*AVERAGE($G$5:$G$6)*J$47+$I$7)*$G$21+$I$34)-Inputs!$F$27*($I$27-$I$22-$I$19-$I$26+($D54*AVERAGE($G$5:$G$6)*J$47+$I$7)*$G$21)/2</f>
        <v>1647.0276081813493</v>
      </c>
    </row>
    <row r="55" spans="2:12" ht="16.5" customHeight="1">
      <c r="B55" s="279"/>
      <c r="C55" s="279"/>
      <c r="D55" s="279"/>
      <c r="E55" s="279"/>
      <c r="F55" s="279"/>
      <c r="G55" s="279"/>
      <c r="H55" s="279"/>
      <c r="I55" s="279"/>
      <c r="J55" s="279"/>
    </row>
    <row r="56" spans="2:12" ht="33" customHeight="1">
      <c r="B56" s="140"/>
      <c r="C56" s="139"/>
      <c r="D56" s="139"/>
      <c r="E56" s="139"/>
      <c r="F56" s="140"/>
      <c r="G56" s="140"/>
      <c r="H56" s="140"/>
      <c r="I56" s="140"/>
      <c r="J56" s="140"/>
      <c r="K56" s="75"/>
      <c r="L56" s="75"/>
    </row>
    <row r="57" spans="2:12" ht="16.5" hidden="1" customHeight="1">
      <c r="B57" s="140"/>
      <c r="C57" s="139"/>
      <c r="D57" s="139"/>
      <c r="E57" s="139"/>
      <c r="F57" s="140"/>
      <c r="G57" s="140"/>
      <c r="H57" s="140"/>
      <c r="I57" s="140"/>
      <c r="J57" s="140"/>
      <c r="K57" s="75"/>
      <c r="L57" s="75"/>
    </row>
    <row r="58" spans="2:12" ht="16.5" hidden="1" customHeight="1">
      <c r="B58" s="75"/>
      <c r="F58" s="75"/>
      <c r="G58" s="75"/>
      <c r="H58" s="75"/>
      <c r="I58" s="75"/>
      <c r="J58" s="75"/>
      <c r="K58" s="75"/>
      <c r="L58" s="75"/>
    </row>
    <row r="59" spans="2:12" ht="16.5" hidden="1" customHeight="1">
      <c r="K59" s="75"/>
    </row>
    <row r="60" spans="2:12" ht="16.5" hidden="1" customHeight="1">
      <c r="E60" s="13" t="s">
        <v>108</v>
      </c>
    </row>
    <row r="61" spans="2:12" hidden="1">
      <c r="C61" s="13" t="s">
        <v>107</v>
      </c>
      <c r="E61" s="27">
        <f>T33-B62</f>
        <v>13.125</v>
      </c>
    </row>
    <row r="62" spans="2:12" hidden="1">
      <c r="B62" s="27">
        <f>((N30-(R30*N30))/Q30+(N31-(R31*N31))/Q31)/O12</f>
        <v>10</v>
      </c>
    </row>
  </sheetData>
  <sheetProtection sheet="1" objects="1" scenarios="1"/>
  <protectedRanges>
    <protectedRange sqref="I3:J3 G5:H7 I8:J8 G12 G17 G19 G21 I18:J18 I24:I25 G30 M3:N6 P3:P6 O12:O25 Q13:T18 M32 N30:O32 Q30:R32" name="Edit cells"/>
  </protectedRanges>
  <mergeCells count="20">
    <mergeCell ref="B55:J55"/>
    <mergeCell ref="S11:S12"/>
    <mergeCell ref="T11:T12"/>
    <mergeCell ref="U11:U12"/>
    <mergeCell ref="I2:J2"/>
    <mergeCell ref="B47:B54"/>
    <mergeCell ref="C47:C54"/>
    <mergeCell ref="D46:J46"/>
    <mergeCell ref="B1:J1"/>
    <mergeCell ref="M8:U8"/>
    <mergeCell ref="M28:M29"/>
    <mergeCell ref="N28:N29"/>
    <mergeCell ref="O28:O29"/>
    <mergeCell ref="P28:P29"/>
    <mergeCell ref="Q28:Q29"/>
    <mergeCell ref="R28:R29"/>
    <mergeCell ref="S28:S29"/>
    <mergeCell ref="T28:T29"/>
    <mergeCell ref="Q11:Q12"/>
    <mergeCell ref="R11:R12"/>
  </mergeCells>
  <phoneticPr fontId="0" type="noConversion"/>
  <dataValidations count="2">
    <dataValidation type="list" allowBlank="1" showInputMessage="1" showErrorMessage="1" sqref="O17" xr:uid="{6D59372D-810F-4965-AB2C-76A588187EEC}">
      <formula1>$T$23:$T$24</formula1>
    </dataValidation>
    <dataValidation type="decimal" allowBlank="1" showInputMessage="1" showErrorMessage="1" sqref="I3:J3" xr:uid="{A19EEF7D-4758-44B4-B360-818AC0F18C00}">
      <formula1>0</formula1>
      <formula2>1</formula2>
    </dataValidation>
  </dataValidations>
  <pageMargins left="0.7" right="0.7" top="0.75" bottom="0.75" header="0.3" footer="0.3"/>
  <pageSetup scale="7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12D367-282D-46E8-A78B-AE6178809DDC}">
          <x14:formula1>
            <xm:f>Inputs!$B$10:$B$21</xm:f>
          </x14:formula1>
          <xm:sqref>M3:M6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9F1E-D20A-4464-8D5F-74EEC7037AFF}">
  <sheetPr>
    <pageSetUpPr fitToPage="1"/>
  </sheetPr>
  <dimension ref="A1:V58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6640625" style="13" customWidth="1"/>
    <col min="3" max="3" width="24.77734375" style="13" customWidth="1"/>
    <col min="4" max="4" width="8" style="13" customWidth="1"/>
    <col min="5" max="5" width="6.44140625" style="13" customWidth="1"/>
    <col min="6" max="6" width="7.5546875" style="13" customWidth="1"/>
    <col min="7" max="7" width="7.6640625" style="13" customWidth="1"/>
    <col min="8" max="8" width="8.33203125" style="13" customWidth="1"/>
    <col min="9" max="9" width="9.21875" style="13" customWidth="1"/>
    <col min="10" max="10" width="9.109375" style="13" bestFit="1" customWidth="1"/>
    <col min="11" max="11" width="3.33203125" style="13" customWidth="1"/>
    <col min="12" max="12" width="0.33203125" style="13" customWidth="1"/>
    <col min="13" max="13" width="19" style="13" customWidth="1"/>
    <col min="14" max="14" width="10" style="13" customWidth="1"/>
    <col min="15" max="15" width="9.6640625" style="13" customWidth="1"/>
    <col min="16" max="16" width="9.21875" style="13" customWidth="1"/>
    <col min="17" max="17" width="14.109375" style="13" customWidth="1"/>
    <col min="18" max="18" width="6.33203125" style="13" customWidth="1"/>
    <col min="19" max="19" width="8.33203125" style="13" customWidth="1"/>
    <col min="20" max="20" width="9.44140625" style="13" customWidth="1"/>
    <col min="21" max="21" width="8.6640625" style="13" customWidth="1"/>
    <col min="22" max="22" width="3.33203125" style="13" customWidth="1"/>
    <col min="23" max="16384" width="8.88671875" style="13" hidden="1"/>
  </cols>
  <sheetData>
    <row r="1" spans="1:21" ht="21.75">
      <c r="B1" s="288" t="s">
        <v>173</v>
      </c>
      <c r="C1" s="288"/>
      <c r="D1" s="288"/>
      <c r="E1" s="288"/>
      <c r="F1" s="288"/>
      <c r="G1" s="288"/>
      <c r="H1" s="288"/>
      <c r="I1" s="288"/>
      <c r="J1" s="288"/>
      <c r="M1" s="106" t="s">
        <v>61</v>
      </c>
      <c r="N1" s="106"/>
      <c r="O1" s="106"/>
      <c r="P1" s="106"/>
      <c r="Q1" s="106"/>
      <c r="R1" s="156"/>
      <c r="S1" s="107"/>
      <c r="T1" s="107"/>
      <c r="U1" s="107"/>
    </row>
    <row r="2" spans="1:21" ht="36.75" customHeight="1">
      <c r="B2" s="153"/>
      <c r="C2" s="2"/>
      <c r="D2" s="2"/>
      <c r="E2" s="2"/>
      <c r="F2" s="2"/>
      <c r="G2" s="2"/>
      <c r="H2" s="2"/>
      <c r="I2" s="154" t="s">
        <v>178</v>
      </c>
      <c r="J2" s="149"/>
      <c r="M2" s="164" t="s">
        <v>58</v>
      </c>
      <c r="N2" s="165" t="s">
        <v>59</v>
      </c>
      <c r="O2" s="165" t="s">
        <v>76</v>
      </c>
      <c r="P2" s="165" t="s">
        <v>60</v>
      </c>
      <c r="Q2" s="165" t="s">
        <v>38</v>
      </c>
      <c r="R2" s="165" t="s">
        <v>80</v>
      </c>
      <c r="S2" s="165" t="s">
        <v>152</v>
      </c>
      <c r="T2" s="165" t="s">
        <v>151</v>
      </c>
      <c r="U2" s="165" t="s">
        <v>185</v>
      </c>
    </row>
    <row r="3" spans="1:21" ht="15.95" customHeight="1">
      <c r="B3" s="14"/>
      <c r="C3" s="14"/>
      <c r="D3" s="14"/>
      <c r="E3" s="14"/>
      <c r="F3" s="14"/>
      <c r="G3" s="14"/>
      <c r="H3" s="14"/>
      <c r="I3" s="130">
        <v>0.85</v>
      </c>
      <c r="J3" s="130">
        <v>0.9</v>
      </c>
      <c r="L3" s="88">
        <v>0.8</v>
      </c>
      <c r="M3" s="37" t="s">
        <v>22</v>
      </c>
      <c r="N3" s="37">
        <v>35</v>
      </c>
      <c r="O3" s="38">
        <f>N3/(O$19+O$15/(O$12/O$13))</f>
        <v>2.6636225266362251E-2</v>
      </c>
      <c r="P3" s="37">
        <v>120</v>
      </c>
      <c r="Q3" s="62" t="str">
        <f>VLOOKUP(M3,Inputs!$B$10:$F$21,2,FALSE)</f>
        <v>ton</v>
      </c>
      <c r="R3" s="39">
        <f>N3*P3/VLOOKUP(M3,Inputs!$B$10:$F$21,3,FALSE)/IF(M3="Pasture",1,VLOOKUP(M3,Inputs!$B$10:$F$21,4,FALSE))</f>
        <v>2.4705882352941178</v>
      </c>
      <c r="S3" s="27">
        <f>R3*VLOOKUP(M3,Inputs!$B$10:$F$21,5,FALSE)</f>
        <v>222.35294117647061</v>
      </c>
      <c r="T3" s="40">
        <f t="shared" ref="T3:U6" si="0">R3*$O$12</f>
        <v>123.52941176470588</v>
      </c>
      <c r="U3" s="27">
        <f t="shared" si="0"/>
        <v>11117.64705882353</v>
      </c>
    </row>
    <row r="4" spans="1:21" ht="15.95" customHeight="1">
      <c r="A4" s="16"/>
      <c r="B4" s="18" t="s">
        <v>25</v>
      </c>
      <c r="C4" s="17"/>
      <c r="D4" s="17"/>
      <c r="E4" s="17"/>
      <c r="F4" s="18" t="s">
        <v>38</v>
      </c>
      <c r="G4" s="18" t="s">
        <v>47</v>
      </c>
      <c r="H4" s="18" t="s">
        <v>48</v>
      </c>
      <c r="I4" s="19" t="s">
        <v>49</v>
      </c>
      <c r="J4" s="19" t="s">
        <v>49</v>
      </c>
      <c r="L4" s="88">
        <v>0.82</v>
      </c>
      <c r="M4" s="37" t="s">
        <v>353</v>
      </c>
      <c r="N4" s="37">
        <v>3</v>
      </c>
      <c r="O4" s="38">
        <f>N4/(O$19+O$15/(O$12/O$13))</f>
        <v>2.2831050228310501E-3</v>
      </c>
      <c r="P4" s="37">
        <v>60</v>
      </c>
      <c r="Q4" s="62" t="str">
        <f>VLOOKUP(M4,Inputs!$B$10:$F$21,2,FALSE)</f>
        <v>bushel</v>
      </c>
      <c r="R4" s="39">
        <f>N4*P4/VLOOKUP(M4,Inputs!$B$10:$F$21,3,FALSE)/IF(M4="Pasture",1,VLOOKUP(M4,Inputs!$B$10:$F$21,4,FALSE))</f>
        <v>3.7815126050420171</v>
      </c>
      <c r="S4" s="27">
        <f>R4*VLOOKUP(M4,Inputs!$B$10:$F$21,5,FALSE)</f>
        <v>19.852941176470591</v>
      </c>
      <c r="T4" s="40">
        <f t="shared" si="0"/>
        <v>189.07563025210086</v>
      </c>
      <c r="U4" s="27">
        <f t="shared" si="0"/>
        <v>992.64705882352951</v>
      </c>
    </row>
    <row r="5" spans="1:21" ht="15.95" customHeight="1">
      <c r="A5" s="16"/>
      <c r="B5" s="120" t="s">
        <v>10</v>
      </c>
      <c r="C5" s="20" t="s">
        <v>51</v>
      </c>
      <c r="D5" s="20"/>
      <c r="E5" s="20"/>
      <c r="F5" s="51" t="s">
        <v>50</v>
      </c>
      <c r="G5" s="52">
        <v>5.9</v>
      </c>
      <c r="H5" s="53">
        <v>421.23</v>
      </c>
      <c r="I5" s="54">
        <f>$G$5*$H$5/2*I3</f>
        <v>1056.2342249999999</v>
      </c>
      <c r="J5" s="54">
        <f>$G$5*$H$5/2*J3</f>
        <v>1118.36565</v>
      </c>
      <c r="K5" s="15"/>
      <c r="L5" s="88">
        <v>0.84</v>
      </c>
      <c r="M5" s="37" t="s">
        <v>41</v>
      </c>
      <c r="N5" s="37">
        <v>3</v>
      </c>
      <c r="O5" s="38">
        <f>N5/(O$19+O$15/(O$12/O$13))</f>
        <v>2.2831050228310501E-3</v>
      </c>
      <c r="P5" s="37">
        <v>60</v>
      </c>
      <c r="Q5" s="62" t="str">
        <f>VLOOKUP(M5,Inputs!$B$10:$F$21,2,FALSE)</f>
        <v>ton</v>
      </c>
      <c r="R5" s="39">
        <f>N5*P5/VLOOKUP(M5,Inputs!$B$10:$F$21,3,FALSE)/IF(M5="Pasture",1,VLOOKUP(M5,Inputs!$B$10:$F$21,4,FALSE))</f>
        <v>0.10227272727272727</v>
      </c>
      <c r="S5" s="27">
        <f>R5*VLOOKUP(M5,Inputs!$B$10:$F$21,5,FALSE)</f>
        <v>17.89772727272727</v>
      </c>
      <c r="T5" s="40">
        <f t="shared" si="0"/>
        <v>5.1136363636363633</v>
      </c>
      <c r="U5" s="27">
        <f t="shared" si="0"/>
        <v>894.88636363636351</v>
      </c>
    </row>
    <row r="6" spans="1:21" ht="15.95" customHeight="1">
      <c r="A6" s="21"/>
      <c r="B6" s="120" t="s">
        <v>11</v>
      </c>
      <c r="C6" s="20" t="s">
        <v>52</v>
      </c>
      <c r="D6" s="20"/>
      <c r="E6" s="20"/>
      <c r="F6" s="51" t="s">
        <v>50</v>
      </c>
      <c r="G6" s="52">
        <v>5.5</v>
      </c>
      <c r="H6" s="53">
        <v>398.49</v>
      </c>
      <c r="I6" s="54">
        <f>$G$6*$H$6/2*I3</f>
        <v>931.47037499999999</v>
      </c>
      <c r="J6" s="54">
        <f>$G$6*$H$6/2*J3</f>
        <v>986.2627500000001</v>
      </c>
      <c r="K6" s="15"/>
      <c r="L6" s="88">
        <v>0.86</v>
      </c>
      <c r="M6" s="37" t="s">
        <v>36</v>
      </c>
      <c r="N6" s="37">
        <v>0.25</v>
      </c>
      <c r="O6" s="38">
        <f>N6/(O$19+O$15/(O$12/O$13))</f>
        <v>1.9025875190258751E-4</v>
      </c>
      <c r="P6" s="37">
        <v>365</v>
      </c>
      <c r="Q6" s="62" t="str">
        <f>VLOOKUP(M6,Inputs!$B$10:$F$21,2,FALSE)</f>
        <v>pound</v>
      </c>
      <c r="R6" s="39">
        <f>N6*P6/VLOOKUP(M6,Inputs!$B$10:$F$21,3,FALSE)/IF(M6="Pasture",1,VLOOKUP(M6,Inputs!$B$10:$F$21,4,FALSE))</f>
        <v>93.112244897959187</v>
      </c>
      <c r="S6" s="43">
        <f>R6*VLOOKUP(M6,Inputs!$B$10:$F$21,5,FALSE)</f>
        <v>55.867346938775512</v>
      </c>
      <c r="T6" s="40">
        <f t="shared" si="0"/>
        <v>4655.6122448979595</v>
      </c>
      <c r="U6" s="43">
        <f t="shared" si="0"/>
        <v>2793.3673469387754</v>
      </c>
    </row>
    <row r="7" spans="1:21" ht="15.95" customHeight="1">
      <c r="A7" s="21"/>
      <c r="B7" s="120" t="s">
        <v>17</v>
      </c>
      <c r="C7" s="20" t="s">
        <v>53</v>
      </c>
      <c r="D7" s="20"/>
      <c r="E7" s="20"/>
      <c r="F7" s="51" t="s">
        <v>50</v>
      </c>
      <c r="G7" s="122">
        <f>O19/100</f>
        <v>12.5</v>
      </c>
      <c r="H7" s="53">
        <v>150</v>
      </c>
      <c r="I7" s="54">
        <f>G7*H7*(O16-O18)</f>
        <v>225.00000000000003</v>
      </c>
      <c r="J7" s="54">
        <f>I7</f>
        <v>225.00000000000003</v>
      </c>
      <c r="K7" s="22"/>
      <c r="L7" s="88">
        <v>0.88</v>
      </c>
      <c r="M7" s="32"/>
      <c r="N7" s="32"/>
      <c r="O7" s="109"/>
      <c r="P7" s="32"/>
      <c r="Q7" s="32"/>
      <c r="R7" s="104" t="s">
        <v>77</v>
      </c>
      <c r="S7" s="111">
        <f>SUM(S3:S6)</f>
        <v>315.97095656444401</v>
      </c>
      <c r="T7" s="112"/>
      <c r="U7" s="111">
        <f>SUM(U3:U6)</f>
        <v>15798.547828222199</v>
      </c>
    </row>
    <row r="8" spans="1:21" ht="15.95" customHeight="1">
      <c r="A8" s="21"/>
      <c r="B8" s="120"/>
      <c r="C8" s="20" t="s">
        <v>5</v>
      </c>
      <c r="D8" s="20"/>
      <c r="E8" s="20"/>
      <c r="F8" s="51"/>
      <c r="G8" s="20"/>
      <c r="H8" s="20"/>
      <c r="I8" s="28"/>
      <c r="J8" s="28"/>
      <c r="L8" s="88">
        <v>0.9</v>
      </c>
      <c r="M8" s="155" t="s">
        <v>68</v>
      </c>
      <c r="N8" s="49"/>
      <c r="O8" s="49"/>
      <c r="P8" s="49"/>
    </row>
    <row r="9" spans="1:21" ht="15.75" customHeight="1">
      <c r="A9" s="21"/>
      <c r="B9" s="20"/>
      <c r="C9" s="69"/>
      <c r="D9" s="69"/>
      <c r="E9" s="69"/>
      <c r="F9" s="51"/>
      <c r="G9" s="20"/>
      <c r="H9" s="55" t="s">
        <v>26</v>
      </c>
      <c r="I9" s="56">
        <f>SUM(I5:I7)</f>
        <v>2212.7046</v>
      </c>
      <c r="J9" s="56">
        <f>SUM(J5:J7)</f>
        <v>2329.6284000000001</v>
      </c>
      <c r="L9" s="88">
        <v>0.91999999999999904</v>
      </c>
      <c r="M9" s="48"/>
      <c r="N9" s="48"/>
      <c r="O9" s="48"/>
      <c r="P9" s="48"/>
    </row>
    <row r="10" spans="1:21" ht="15.95" customHeight="1">
      <c r="A10" s="21"/>
      <c r="B10" s="20"/>
      <c r="C10" s="69"/>
      <c r="D10" s="69"/>
      <c r="E10" s="69"/>
      <c r="F10" s="51"/>
      <c r="G10" s="20"/>
      <c r="H10" s="20"/>
      <c r="I10" s="57"/>
      <c r="J10" s="57"/>
      <c r="L10" s="88">
        <v>0.93999999999999895</v>
      </c>
      <c r="M10" s="106" t="s">
        <v>62</v>
      </c>
      <c r="N10" s="106"/>
      <c r="O10" s="106"/>
      <c r="Q10" s="106" t="s">
        <v>83</v>
      </c>
      <c r="R10" s="106"/>
      <c r="S10" s="106"/>
      <c r="T10" s="106"/>
      <c r="U10" s="106"/>
    </row>
    <row r="11" spans="1:21" ht="15.95" customHeight="1">
      <c r="A11" s="16"/>
      <c r="B11" s="18" t="s">
        <v>24</v>
      </c>
      <c r="C11" s="17"/>
      <c r="D11" s="17"/>
      <c r="E11" s="17"/>
      <c r="F11" s="18" t="s">
        <v>38</v>
      </c>
      <c r="G11" s="18" t="s">
        <v>47</v>
      </c>
      <c r="H11" s="18" t="s">
        <v>48</v>
      </c>
      <c r="I11" s="19" t="s">
        <v>49</v>
      </c>
      <c r="J11" s="19" t="s">
        <v>49</v>
      </c>
      <c r="L11" s="88">
        <v>0.95999999999999897</v>
      </c>
      <c r="M11" s="110" t="s">
        <v>187</v>
      </c>
      <c r="N11" s="110" t="s">
        <v>38</v>
      </c>
      <c r="O11" s="110" t="s">
        <v>47</v>
      </c>
      <c r="Q11" s="289" t="s">
        <v>82</v>
      </c>
      <c r="R11" s="290" t="s">
        <v>84</v>
      </c>
      <c r="S11" s="290" t="s">
        <v>199</v>
      </c>
      <c r="T11" s="290" t="s">
        <v>195</v>
      </c>
      <c r="U11" s="290" t="s">
        <v>86</v>
      </c>
    </row>
    <row r="12" spans="1:21" ht="15.95" customHeight="1">
      <c r="A12" s="16"/>
      <c r="B12" s="20"/>
      <c r="C12" s="20" t="s">
        <v>3</v>
      </c>
      <c r="D12" s="20"/>
      <c r="E12" s="20"/>
      <c r="F12" s="51" t="s">
        <v>327</v>
      </c>
      <c r="G12" s="124">
        <v>3.5</v>
      </c>
      <c r="H12" s="54">
        <f>Inputs!F3+Inputs!F4+Inputs!F5+SUMPRODUCT(Inputs!F6:F8,Inputs!F24:F26)</f>
        <v>106.7</v>
      </c>
      <c r="I12" s="54">
        <f>H12*G12</f>
        <v>373.45</v>
      </c>
      <c r="J12" s="54">
        <f>I12</f>
        <v>373.45</v>
      </c>
      <c r="L12" s="88">
        <v>0.97999999999999898</v>
      </c>
      <c r="M12" s="13" t="s">
        <v>63</v>
      </c>
      <c r="N12" s="4" t="s">
        <v>72</v>
      </c>
      <c r="O12" s="37">
        <v>50</v>
      </c>
      <c r="Q12" s="278"/>
      <c r="R12" s="274"/>
      <c r="S12" s="274"/>
      <c r="T12" s="274"/>
      <c r="U12" s="274"/>
    </row>
    <row r="13" spans="1:21" ht="15.95" customHeight="1">
      <c r="A13" s="16"/>
      <c r="B13" s="20"/>
      <c r="C13" s="20" t="str">
        <f t="shared" ref="C13:C16" si="1">M3</f>
        <v>Mixed hay</v>
      </c>
      <c r="D13" s="20"/>
      <c r="E13" s="20"/>
      <c r="F13" s="51" t="str">
        <f t="shared" ref="F13:G16" si="2">Q3</f>
        <v>ton</v>
      </c>
      <c r="G13" s="122">
        <f t="shared" si="2"/>
        <v>2.4705882352941178</v>
      </c>
      <c r="H13" s="54">
        <f>VLOOKUP(C13,Inputs!$B$10:$F$21,5,FALSE)</f>
        <v>90</v>
      </c>
      <c r="I13" s="54">
        <f t="shared" ref="I13:I16" si="3">S3</f>
        <v>222.35294117647061</v>
      </c>
      <c r="J13" s="54">
        <f t="shared" ref="J13:J16" si="4">I13</f>
        <v>222.35294117647061</v>
      </c>
      <c r="M13" s="13" t="s">
        <v>64</v>
      </c>
      <c r="N13" s="4" t="s">
        <v>73</v>
      </c>
      <c r="O13" s="37">
        <v>2</v>
      </c>
      <c r="Q13" s="114" t="s">
        <v>175</v>
      </c>
      <c r="R13" s="44">
        <v>55</v>
      </c>
      <c r="S13" s="37">
        <v>0.66700000000000004</v>
      </c>
      <c r="T13" s="37">
        <v>75</v>
      </c>
      <c r="U13" s="27">
        <f>R13*S13*T13</f>
        <v>2751.375</v>
      </c>
    </row>
    <row r="14" spans="1:21" ht="15.95" customHeight="1">
      <c r="A14" s="16"/>
      <c r="B14" s="20"/>
      <c r="C14" s="20" t="str">
        <f t="shared" si="1"/>
        <v>Purchased corn</v>
      </c>
      <c r="D14" s="20"/>
      <c r="E14" s="20"/>
      <c r="F14" s="51" t="str">
        <f t="shared" si="2"/>
        <v>bushel</v>
      </c>
      <c r="G14" s="122">
        <f t="shared" si="2"/>
        <v>3.7815126050420171</v>
      </c>
      <c r="H14" s="54">
        <f>VLOOKUP(C14,Inputs!$B$10:$F$21,5,FALSE)</f>
        <v>5.25</v>
      </c>
      <c r="I14" s="54">
        <f t="shared" si="3"/>
        <v>19.852941176470591</v>
      </c>
      <c r="J14" s="54">
        <f t="shared" si="4"/>
        <v>19.852941176470591</v>
      </c>
      <c r="M14" s="13" t="s">
        <v>102</v>
      </c>
      <c r="N14" s="4" t="s">
        <v>103</v>
      </c>
      <c r="O14" s="82">
        <v>5</v>
      </c>
      <c r="Q14" s="114" t="s">
        <v>186</v>
      </c>
      <c r="R14" s="44">
        <v>10</v>
      </c>
      <c r="S14" s="37">
        <v>3</v>
      </c>
      <c r="T14" s="37">
        <v>10</v>
      </c>
      <c r="U14" s="27">
        <f t="shared" ref="U14:U18" si="5">R14*S14*T14</f>
        <v>300</v>
      </c>
    </row>
    <row r="15" spans="1:21" ht="15.95" customHeight="1">
      <c r="A15" s="16"/>
      <c r="B15" s="20"/>
      <c r="C15" s="20" t="str">
        <f t="shared" si="1"/>
        <v>Dried distillers grains</v>
      </c>
      <c r="D15" s="20"/>
      <c r="E15" s="20"/>
      <c r="F15" s="51" t="str">
        <f t="shared" si="2"/>
        <v>ton</v>
      </c>
      <c r="G15" s="122">
        <f t="shared" si="2"/>
        <v>0.10227272727272727</v>
      </c>
      <c r="H15" s="13">
        <f>VLOOKUP(C15,Inputs!$B$10:$F$21,5,FALSE)</f>
        <v>175</v>
      </c>
      <c r="I15" s="54">
        <f t="shared" si="3"/>
        <v>17.89772727272727</v>
      </c>
      <c r="J15" s="54">
        <f t="shared" si="4"/>
        <v>17.89772727272727</v>
      </c>
      <c r="M15" s="13" t="s">
        <v>78</v>
      </c>
      <c r="N15" s="4" t="s">
        <v>70</v>
      </c>
      <c r="O15" s="100">
        <v>1600</v>
      </c>
      <c r="Q15" s="114" t="s">
        <v>87</v>
      </c>
      <c r="R15" s="44">
        <v>32</v>
      </c>
      <c r="S15" s="37">
        <v>0.5</v>
      </c>
      <c r="T15" s="37">
        <v>60</v>
      </c>
      <c r="U15" s="102">
        <f t="shared" si="5"/>
        <v>960</v>
      </c>
    </row>
    <row r="16" spans="1:21" ht="15.95" customHeight="1">
      <c r="A16" s="16"/>
      <c r="B16" s="20"/>
      <c r="C16" s="20" t="str">
        <f t="shared" si="1"/>
        <v>Salt and minerals</v>
      </c>
      <c r="D16" s="20"/>
      <c r="E16" s="20"/>
      <c r="F16" s="51" t="str">
        <f t="shared" si="2"/>
        <v>pound</v>
      </c>
      <c r="G16" s="122">
        <f t="shared" si="2"/>
        <v>93.112244897959187</v>
      </c>
      <c r="H16" s="13">
        <f>VLOOKUP(C16,Inputs!$B$10:$F$21,5,FALSE)</f>
        <v>0.6</v>
      </c>
      <c r="I16" s="54">
        <f t="shared" si="3"/>
        <v>55.867346938775512</v>
      </c>
      <c r="J16" s="54">
        <f t="shared" si="4"/>
        <v>55.867346938775512</v>
      </c>
      <c r="M16" s="13" t="s">
        <v>65</v>
      </c>
      <c r="N16" s="4" t="s">
        <v>71</v>
      </c>
      <c r="O16" s="45">
        <v>0.14000000000000001</v>
      </c>
      <c r="Q16" s="114" t="s">
        <v>88</v>
      </c>
      <c r="R16" s="44">
        <v>20</v>
      </c>
      <c r="S16" s="37">
        <v>3</v>
      </c>
      <c r="T16" s="37">
        <v>8</v>
      </c>
      <c r="U16" s="103">
        <f t="shared" si="5"/>
        <v>480</v>
      </c>
    </row>
    <row r="17" spans="1:21" ht="15.95" customHeight="1">
      <c r="A17" s="16"/>
      <c r="B17" s="20"/>
      <c r="C17" s="20" t="s">
        <v>12</v>
      </c>
      <c r="D17" s="20"/>
      <c r="E17" s="20"/>
      <c r="F17" s="51" t="s">
        <v>55</v>
      </c>
      <c r="G17" s="52">
        <v>8</v>
      </c>
      <c r="H17" s="20">
        <f>Inputs!F23</f>
        <v>22</v>
      </c>
      <c r="I17" s="54">
        <f>G17*H17</f>
        <v>176</v>
      </c>
      <c r="J17" s="54">
        <f>G17*H17</f>
        <v>176</v>
      </c>
      <c r="M17" s="13" t="s">
        <v>320</v>
      </c>
      <c r="N17" s="4"/>
      <c r="O17" s="45" t="s">
        <v>322</v>
      </c>
      <c r="Q17" s="114" t="s">
        <v>89</v>
      </c>
      <c r="R17" s="44">
        <v>12</v>
      </c>
      <c r="S17" s="37">
        <v>1</v>
      </c>
      <c r="T17" s="37">
        <v>180</v>
      </c>
      <c r="U17" s="102">
        <f t="shared" si="5"/>
        <v>2160</v>
      </c>
    </row>
    <row r="18" spans="1:21" ht="15.95" customHeight="1">
      <c r="A18" s="16"/>
      <c r="B18" s="20"/>
      <c r="C18" s="20" t="s">
        <v>0</v>
      </c>
      <c r="D18" s="20"/>
      <c r="E18" s="20"/>
      <c r="F18" s="51"/>
      <c r="G18" s="20"/>
      <c r="H18" s="20"/>
      <c r="I18" s="53">
        <v>37.5</v>
      </c>
      <c r="J18" s="53">
        <v>40</v>
      </c>
      <c r="M18" s="13" t="s">
        <v>110</v>
      </c>
      <c r="N18" s="4" t="s">
        <v>71</v>
      </c>
      <c r="O18" s="45">
        <v>0.02</v>
      </c>
      <c r="Q18" s="114" t="s">
        <v>179</v>
      </c>
      <c r="R18" s="44">
        <v>0</v>
      </c>
      <c r="S18" s="37">
        <v>0</v>
      </c>
      <c r="T18" s="37">
        <v>0</v>
      </c>
      <c r="U18" s="105">
        <f t="shared" si="5"/>
        <v>0</v>
      </c>
    </row>
    <row r="19" spans="1:21" ht="15.95" customHeight="1">
      <c r="A19" s="16"/>
      <c r="B19" s="20"/>
      <c r="C19" s="20" t="s">
        <v>14</v>
      </c>
      <c r="D19" s="20"/>
      <c r="E19" s="20"/>
      <c r="F19" s="51" t="s">
        <v>81</v>
      </c>
      <c r="G19" s="252">
        <v>2.5000000000000001E-2</v>
      </c>
      <c r="H19" s="20"/>
      <c r="I19" s="54">
        <f>G19*I9</f>
        <v>55.317615000000004</v>
      </c>
      <c r="J19" s="54">
        <f>J9*G19</f>
        <v>58.240710000000007</v>
      </c>
      <c r="M19" s="13" t="s">
        <v>69</v>
      </c>
      <c r="N19" s="4" t="s">
        <v>70</v>
      </c>
      <c r="O19" s="100">
        <v>1250</v>
      </c>
      <c r="Q19" s="32"/>
      <c r="R19" s="32"/>
      <c r="S19" s="32"/>
      <c r="T19" s="166" t="s">
        <v>196</v>
      </c>
      <c r="U19" s="108">
        <f>SUM(U13:U18)</f>
        <v>6651.375</v>
      </c>
    </row>
    <row r="20" spans="1:21" ht="15.95" customHeight="1">
      <c r="A20" s="16"/>
      <c r="B20" s="20"/>
      <c r="C20" s="20" t="s">
        <v>23</v>
      </c>
      <c r="D20" s="20"/>
      <c r="E20" s="20"/>
      <c r="F20" s="51"/>
      <c r="G20" s="20"/>
      <c r="H20" s="20"/>
      <c r="I20" s="54">
        <f>(U19+O25*12)/O12</f>
        <v>169.0275</v>
      </c>
      <c r="J20" s="54">
        <f t="shared" ref="J20:J25" si="6">I20</f>
        <v>169.0275</v>
      </c>
      <c r="M20" s="13" t="s">
        <v>66</v>
      </c>
      <c r="N20" s="4" t="s">
        <v>74</v>
      </c>
      <c r="O20" s="101">
        <v>3500</v>
      </c>
    </row>
    <row r="21" spans="1:21" ht="15.95" customHeight="1">
      <c r="A21" s="16"/>
      <c r="B21" s="20"/>
      <c r="C21" s="20" t="s">
        <v>13</v>
      </c>
      <c r="D21" s="20"/>
      <c r="E21" s="20"/>
      <c r="F21" s="51" t="s">
        <v>100</v>
      </c>
      <c r="G21" s="31">
        <v>0.02</v>
      </c>
      <c r="H21" s="20"/>
      <c r="I21" s="54">
        <f>G21*((P33+N31*R31)/2)</f>
        <v>15.5</v>
      </c>
      <c r="J21" s="54">
        <f t="shared" si="6"/>
        <v>15.5</v>
      </c>
      <c r="M21" s="13" t="s">
        <v>79</v>
      </c>
      <c r="N21" s="4" t="s">
        <v>74</v>
      </c>
      <c r="O21" s="101">
        <v>4000</v>
      </c>
    </row>
    <row r="22" spans="1:21" ht="15.95" customHeight="1">
      <c r="A22" s="16"/>
      <c r="B22" s="120" t="s">
        <v>15</v>
      </c>
      <c r="C22" s="20" t="s">
        <v>65</v>
      </c>
      <c r="D22" s="20"/>
      <c r="E22" s="20"/>
      <c r="F22" s="51" t="s">
        <v>101</v>
      </c>
      <c r="G22" s="59">
        <f>O16</f>
        <v>0.14000000000000001</v>
      </c>
      <c r="H22" s="20"/>
      <c r="I22" s="54">
        <f>O16*IF(O17=T23,'Replacement heifer'!I34,'Cow-calf (Spring)'!O21)</f>
        <v>560</v>
      </c>
      <c r="J22" s="54">
        <f t="shared" si="6"/>
        <v>560</v>
      </c>
      <c r="M22" s="13" t="s">
        <v>67</v>
      </c>
      <c r="N22" s="4" t="s">
        <v>74</v>
      </c>
      <c r="O22" s="101">
        <v>5000</v>
      </c>
    </row>
    <row r="23" spans="1:21" ht="15.95" customHeight="1">
      <c r="A23" s="23"/>
      <c r="B23" s="61"/>
      <c r="C23" s="20" t="s">
        <v>18</v>
      </c>
      <c r="D23" s="20"/>
      <c r="E23" s="20"/>
      <c r="F23" s="60"/>
      <c r="G23" s="61"/>
      <c r="H23" s="61"/>
      <c r="I23" s="54">
        <f>O22*O13/O12/O14+O23*O24/O12</f>
        <v>40</v>
      </c>
      <c r="J23" s="54">
        <f t="shared" si="6"/>
        <v>40</v>
      </c>
      <c r="M23" s="13" t="s">
        <v>105</v>
      </c>
      <c r="N23" s="4" t="s">
        <v>75</v>
      </c>
      <c r="O23" s="101">
        <v>40</v>
      </c>
      <c r="T23" s="217" t="s">
        <v>321</v>
      </c>
    </row>
    <row r="24" spans="1:21" ht="15.95" customHeight="1">
      <c r="A24" s="23"/>
      <c r="B24" s="20"/>
      <c r="C24" s="20" t="s">
        <v>2</v>
      </c>
      <c r="D24" s="20"/>
      <c r="E24" s="20"/>
      <c r="F24" s="51"/>
      <c r="G24" s="20"/>
      <c r="H24" s="61"/>
      <c r="I24" s="53">
        <v>10</v>
      </c>
      <c r="J24" s="54">
        <f t="shared" si="6"/>
        <v>10</v>
      </c>
      <c r="M24" s="13" t="s">
        <v>104</v>
      </c>
      <c r="N24" s="4" t="s">
        <v>106</v>
      </c>
      <c r="O24" s="100">
        <v>0</v>
      </c>
      <c r="T24" s="217" t="s">
        <v>322</v>
      </c>
    </row>
    <row r="25" spans="1:21" ht="15.95" customHeight="1">
      <c r="A25" s="16"/>
      <c r="B25" s="20"/>
      <c r="C25" s="20" t="s">
        <v>4</v>
      </c>
      <c r="D25" s="20"/>
      <c r="E25" s="20"/>
      <c r="F25" s="51"/>
      <c r="G25" s="20"/>
      <c r="H25" s="20"/>
      <c r="I25" s="53">
        <v>10</v>
      </c>
      <c r="J25" s="54">
        <f t="shared" si="6"/>
        <v>10</v>
      </c>
      <c r="M25" s="32" t="s">
        <v>35</v>
      </c>
      <c r="N25" s="89" t="s">
        <v>99</v>
      </c>
      <c r="O25" s="87">
        <v>150</v>
      </c>
    </row>
    <row r="26" spans="1:21" ht="15.95" customHeight="1">
      <c r="A26" s="16"/>
      <c r="B26" s="20"/>
      <c r="C26" s="20" t="str">
        <f>"Operating interest"</f>
        <v>Operating interest</v>
      </c>
      <c r="D26" s="20"/>
      <c r="E26" s="20"/>
      <c r="F26" s="51"/>
      <c r="G26" s="20"/>
      <c r="H26" s="20"/>
      <c r="I26" s="29">
        <f>(SUM(I12:I25)-I19-I22)/2*Inputs!$F27</f>
        <v>41.595006550461093</v>
      </c>
      <c r="J26" s="29">
        <f>(SUM(J12:J25)-J19-J22)/2*Inputs!$F27</f>
        <v>41.685631550461089</v>
      </c>
    </row>
    <row r="27" spans="1:21" ht="15.95" customHeight="1">
      <c r="A27" s="16"/>
      <c r="B27" s="20"/>
      <c r="C27" s="2"/>
      <c r="D27" s="2"/>
      <c r="E27" s="2"/>
      <c r="F27" s="62"/>
      <c r="G27" s="2"/>
      <c r="H27" s="55" t="s">
        <v>28</v>
      </c>
      <c r="I27" s="63">
        <f>SUM(I12:I26)</f>
        <v>1804.361078114905</v>
      </c>
      <c r="J27" s="63">
        <f>SUM(J12:J26)</f>
        <v>1809.8747981149049</v>
      </c>
      <c r="M27" s="106" t="s">
        <v>91</v>
      </c>
      <c r="N27" s="106"/>
      <c r="O27" s="106"/>
      <c r="P27" s="106"/>
      <c r="Q27" s="106"/>
      <c r="R27" s="156"/>
      <c r="S27" s="156"/>
      <c r="T27" s="106"/>
    </row>
    <row r="28" spans="1:21" ht="15.95" customHeight="1">
      <c r="A28" s="16"/>
      <c r="B28" s="2"/>
      <c r="C28" s="2"/>
      <c r="D28" s="2"/>
      <c r="E28" s="2"/>
      <c r="F28" s="62"/>
      <c r="G28" s="2"/>
      <c r="H28" s="2"/>
      <c r="I28" s="64"/>
      <c r="J28" s="64"/>
      <c r="M28" s="297" t="s">
        <v>190</v>
      </c>
      <c r="N28" s="290" t="s">
        <v>94</v>
      </c>
      <c r="O28" s="290" t="s">
        <v>98</v>
      </c>
      <c r="P28" s="290" t="s">
        <v>95</v>
      </c>
      <c r="Q28" s="290" t="s">
        <v>96</v>
      </c>
      <c r="R28" s="295" t="s">
        <v>6</v>
      </c>
      <c r="S28" s="290" t="s">
        <v>86</v>
      </c>
      <c r="T28" s="290" t="s">
        <v>200</v>
      </c>
    </row>
    <row r="29" spans="1:21" ht="15.95" customHeight="1">
      <c r="A29" s="16"/>
      <c r="B29" s="18" t="s">
        <v>27</v>
      </c>
      <c r="C29" s="17"/>
      <c r="D29" s="17"/>
      <c r="E29" s="17"/>
      <c r="F29" s="18" t="s">
        <v>38</v>
      </c>
      <c r="G29" s="18" t="s">
        <v>47</v>
      </c>
      <c r="H29" s="18" t="s">
        <v>48</v>
      </c>
      <c r="I29" s="19" t="s">
        <v>49</v>
      </c>
      <c r="J29" s="19" t="s">
        <v>49</v>
      </c>
      <c r="M29" s="272"/>
      <c r="N29" s="274"/>
      <c r="O29" s="274"/>
      <c r="P29" s="274"/>
      <c r="Q29" s="274"/>
      <c r="R29" s="276"/>
      <c r="S29" s="274"/>
      <c r="T29" s="274"/>
    </row>
    <row r="30" spans="1:21" ht="15.95" customHeight="1">
      <c r="A30" s="16"/>
      <c r="B30" s="69"/>
      <c r="C30" s="20" t="s">
        <v>56</v>
      </c>
      <c r="D30" s="20"/>
      <c r="E30" s="20"/>
      <c r="F30" s="51" t="s">
        <v>57</v>
      </c>
      <c r="G30" s="31">
        <v>0.01</v>
      </c>
      <c r="H30" s="2"/>
      <c r="I30" s="54">
        <f>G30*I9</f>
        <v>22.127046</v>
      </c>
      <c r="J30" s="125">
        <f>G30*J9</f>
        <v>23.296284</v>
      </c>
      <c r="M30" s="13" t="s">
        <v>92</v>
      </c>
      <c r="N30" s="44">
        <v>12500</v>
      </c>
      <c r="O30" s="45">
        <v>0.8</v>
      </c>
      <c r="P30" s="27">
        <f>N30*O30/$O$12</f>
        <v>200</v>
      </c>
      <c r="Q30" s="37">
        <v>30</v>
      </c>
      <c r="R30" s="45">
        <v>0.25</v>
      </c>
      <c r="S30" s="27">
        <f>(N30-(R30*N30))/Q30+(N30+N30*R30)/2*(Inputs!$F$28)*O30</f>
        <v>750</v>
      </c>
      <c r="T30" s="27">
        <f>S30/$O$12</f>
        <v>15</v>
      </c>
    </row>
    <row r="31" spans="1:21" ht="15.95" customHeight="1">
      <c r="A31" s="16"/>
      <c r="B31" s="126" t="s">
        <v>16</v>
      </c>
      <c r="C31" s="20" t="s">
        <v>21</v>
      </c>
      <c r="D31" s="20"/>
      <c r="E31" s="20"/>
      <c r="F31" s="51"/>
      <c r="G31" s="20"/>
      <c r="H31" s="20"/>
      <c r="I31" s="65">
        <f>T45</f>
        <v>10</v>
      </c>
      <c r="J31" s="65">
        <f>I31</f>
        <v>10</v>
      </c>
      <c r="M31" s="13" t="s">
        <v>93</v>
      </c>
      <c r="N31" s="44">
        <v>5000</v>
      </c>
      <c r="O31" s="45">
        <v>1</v>
      </c>
      <c r="P31" s="27">
        <f>N31*O31/$O$12</f>
        <v>100</v>
      </c>
      <c r="Q31" s="37">
        <v>20</v>
      </c>
      <c r="R31" s="45">
        <v>0.25</v>
      </c>
      <c r="S31" s="27">
        <f>(N31-(R31*N31))/Q31+(N31+N31*R31)/2*(Inputs!$F$28)*O31</f>
        <v>406.25</v>
      </c>
      <c r="T31" s="27">
        <f>S31/$O$12</f>
        <v>8.125</v>
      </c>
    </row>
    <row r="32" spans="1:21" ht="15.95" customHeight="1">
      <c r="A32" s="16"/>
      <c r="B32" s="126"/>
      <c r="C32" s="20" t="s">
        <v>19</v>
      </c>
      <c r="D32" s="20"/>
      <c r="E32" s="20"/>
      <c r="F32" s="51"/>
      <c r="G32" s="20"/>
      <c r="H32" s="20"/>
      <c r="I32" s="65">
        <f>(O12*(1-O16)*O20+O16*O12*O21+O13*O22)/O12*Inputs!F27</f>
        <v>273.32499999999999</v>
      </c>
      <c r="J32" s="65">
        <f>I32</f>
        <v>273.32499999999999</v>
      </c>
      <c r="M32" s="167"/>
      <c r="N32" s="87">
        <v>0</v>
      </c>
      <c r="O32" s="46">
        <v>0</v>
      </c>
      <c r="P32" s="43">
        <f>N32*O32/$O$12</f>
        <v>0</v>
      </c>
      <c r="Q32" s="242">
        <v>0.01</v>
      </c>
      <c r="R32" s="46">
        <v>0</v>
      </c>
      <c r="S32" s="43">
        <f>IFERROR((N32-(R32*N32))/Q32+(N32+N32*R32)/2*(Inputs!$F$28)*O32,0)</f>
        <v>0</v>
      </c>
      <c r="T32" s="43">
        <f>S32/$O$12</f>
        <v>0</v>
      </c>
    </row>
    <row r="33" spans="1:21" ht="15.95" customHeight="1">
      <c r="A33" s="21"/>
      <c r="B33" s="20"/>
      <c r="C33" s="20" t="s">
        <v>20</v>
      </c>
      <c r="D33" s="20"/>
      <c r="E33" s="20"/>
      <c r="F33" s="51"/>
      <c r="G33" s="20"/>
      <c r="H33" s="20"/>
      <c r="I33" s="65">
        <f>U44</f>
        <v>23.125</v>
      </c>
      <c r="J33" s="65">
        <f>I33</f>
        <v>23.125</v>
      </c>
      <c r="M33" s="168" t="s">
        <v>1</v>
      </c>
      <c r="N33" s="111">
        <f>SUM(N30:N32)</f>
        <v>17500</v>
      </c>
      <c r="O33" s="111"/>
      <c r="P33" s="111">
        <f>SUM(P30:P32)</f>
        <v>300</v>
      </c>
      <c r="Q33" s="110"/>
      <c r="R33" s="110"/>
      <c r="S33" s="111">
        <f>SUM(S30:S32)</f>
        <v>1156.25</v>
      </c>
      <c r="T33" s="111">
        <f>SUM(T30:T32)</f>
        <v>23.125</v>
      </c>
    </row>
    <row r="34" spans="1:21" ht="15.95" customHeight="1">
      <c r="A34" s="16"/>
      <c r="B34" s="20"/>
      <c r="C34" s="20" t="s">
        <v>54</v>
      </c>
      <c r="D34" s="20"/>
      <c r="E34" s="20"/>
      <c r="F34" s="51"/>
      <c r="G34" s="20"/>
      <c r="H34" s="20"/>
      <c r="I34" s="30">
        <f>M39*(Inputs!F31)/O12+P33*(Inputs!F29+Inputs!F30)</f>
        <v>40.61</v>
      </c>
      <c r="J34" s="30">
        <f>I34</f>
        <v>40.61</v>
      </c>
    </row>
    <row r="35" spans="1:21" ht="15.95" customHeight="1">
      <c r="A35" s="16"/>
      <c r="B35" s="20"/>
      <c r="C35" s="20"/>
      <c r="D35" s="20"/>
      <c r="E35" s="20"/>
      <c r="F35" s="20"/>
      <c r="G35" s="20"/>
      <c r="H35" s="55" t="s">
        <v>29</v>
      </c>
      <c r="I35" s="56">
        <f>SUM(I30:I34)</f>
        <v>369.18704600000001</v>
      </c>
      <c r="J35" s="56">
        <f>SUM(J30:J34)</f>
        <v>370.35628400000002</v>
      </c>
    </row>
    <row r="36" spans="1:21" ht="15.95" customHeight="1">
      <c r="A36" s="16"/>
      <c r="B36" s="20"/>
      <c r="C36" s="20"/>
      <c r="D36" s="20"/>
      <c r="E36" s="20"/>
      <c r="F36" s="20"/>
      <c r="G36" s="20"/>
      <c r="H36" s="20"/>
      <c r="I36" s="66"/>
      <c r="J36" s="66"/>
    </row>
    <row r="37" spans="1:21" ht="15.95" customHeight="1">
      <c r="A37" s="16"/>
      <c r="B37" s="69"/>
      <c r="C37" s="20"/>
      <c r="D37" s="20"/>
      <c r="E37" s="20"/>
      <c r="F37" s="20"/>
      <c r="G37" s="20"/>
      <c r="H37" s="67" t="s">
        <v>318</v>
      </c>
      <c r="I37" s="63">
        <f>I38-SUM(I33,I32,I31,I17,I30)</f>
        <v>1668.9710781149051</v>
      </c>
      <c r="J37" s="63">
        <f>J38-SUM(J33,J32,J31,J17,J30)</f>
        <v>1674.4847981149048</v>
      </c>
    </row>
    <row r="38" spans="1:21" ht="15.95" customHeight="1">
      <c r="A38" s="16"/>
      <c r="B38" s="20"/>
      <c r="C38" s="20"/>
      <c r="D38" s="20"/>
      <c r="E38" s="20"/>
      <c r="F38" s="20"/>
      <c r="G38" s="20"/>
      <c r="H38" s="67" t="s">
        <v>30</v>
      </c>
      <c r="I38" s="68">
        <f>I27+I35</f>
        <v>2173.548124114905</v>
      </c>
      <c r="J38" s="68">
        <f>J27+J35</f>
        <v>2180.2310821149049</v>
      </c>
      <c r="M38" s="217" t="s">
        <v>109</v>
      </c>
      <c r="N38" s="217"/>
      <c r="O38" s="217"/>
      <c r="P38" s="217"/>
      <c r="Q38" s="217"/>
      <c r="R38" s="217"/>
      <c r="S38" s="217"/>
      <c r="T38" s="217"/>
      <c r="U38" s="217"/>
    </row>
    <row r="39" spans="1:21" ht="15.95" customHeight="1">
      <c r="A39" s="16"/>
      <c r="B39" s="208" t="s">
        <v>264</v>
      </c>
      <c r="C39" s="127"/>
      <c r="D39" s="127"/>
      <c r="E39" s="127"/>
      <c r="F39" s="127"/>
      <c r="G39" s="127"/>
      <c r="H39" s="127"/>
      <c r="I39" s="209">
        <f>I9-I37</f>
        <v>543.73352188509489</v>
      </c>
      <c r="J39" s="209">
        <f>J9-J37</f>
        <v>655.14360188509522</v>
      </c>
      <c r="M39" s="220">
        <f>(O12*(1-O16)*O20+O16*O12*O21+O13*O22)</f>
        <v>188500</v>
      </c>
      <c r="N39" s="221"/>
      <c r="O39" s="221"/>
      <c r="P39" s="221"/>
      <c r="Q39" s="217"/>
      <c r="R39" s="217"/>
      <c r="S39" s="217"/>
      <c r="T39" s="217"/>
      <c r="U39" s="217"/>
    </row>
    <row r="40" spans="1:21" ht="15.95" customHeight="1">
      <c r="A40" s="16"/>
      <c r="B40" s="119" t="s">
        <v>191</v>
      </c>
      <c r="E40" s="69"/>
      <c r="F40" s="20"/>
      <c r="G40" s="20"/>
      <c r="H40" s="20"/>
      <c r="I40" s="56">
        <f>I9-I27</f>
        <v>408.34352188509502</v>
      </c>
      <c r="J40" s="56">
        <f>J9-J27</f>
        <v>519.75360188509512</v>
      </c>
      <c r="M40" s="221"/>
      <c r="N40" s="221"/>
      <c r="O40" s="221"/>
      <c r="P40" s="221"/>
      <c r="Q40" s="217"/>
      <c r="R40" s="217"/>
      <c r="S40" s="217"/>
      <c r="T40" s="217"/>
      <c r="U40" s="217"/>
    </row>
    <row r="41" spans="1:21" ht="15.95" customHeight="1">
      <c r="A41" s="16"/>
      <c r="B41" s="218" t="s">
        <v>192</v>
      </c>
      <c r="C41" s="32"/>
      <c r="D41" s="32"/>
      <c r="E41" s="128"/>
      <c r="F41" s="14"/>
      <c r="G41" s="14"/>
      <c r="H41" s="14"/>
      <c r="I41" s="129">
        <f>I9-I38</f>
        <v>39.156475885095006</v>
      </c>
      <c r="J41" s="129">
        <f>J9-J38</f>
        <v>149.39731788509516</v>
      </c>
      <c r="M41" s="221"/>
      <c r="N41" s="221"/>
      <c r="O41" s="221"/>
      <c r="P41" s="217"/>
      <c r="Q41" s="217"/>
      <c r="R41" s="217"/>
      <c r="S41" s="217"/>
      <c r="T41" s="217"/>
      <c r="U41" s="217"/>
    </row>
    <row r="42" spans="1:21" ht="15" customHeight="1">
      <c r="A42" s="16"/>
      <c r="B42" s="244" t="s">
        <v>335</v>
      </c>
      <c r="C42" s="245"/>
      <c r="D42" s="245"/>
      <c r="E42" s="18"/>
      <c r="F42" s="17"/>
      <c r="G42" s="17"/>
      <c r="H42" s="17"/>
      <c r="I42" s="246">
        <f>I37/AVERAGE($G$5,$G$6)</f>
        <v>292.80194352893074</v>
      </c>
      <c r="J42" s="246">
        <f>J37/AVERAGE($G$5,$G$6)</f>
        <v>293.76926282717631</v>
      </c>
      <c r="K42" s="24"/>
      <c r="L42" s="25"/>
      <c r="M42" s="221"/>
      <c r="N42" s="221"/>
      <c r="O42" s="221"/>
      <c r="P42" s="217"/>
      <c r="Q42" s="217"/>
      <c r="R42" s="217"/>
      <c r="S42" s="217"/>
      <c r="T42" s="217"/>
      <c r="U42" s="217" t="s">
        <v>108</v>
      </c>
    </row>
    <row r="43" spans="1:21" ht="15" customHeight="1">
      <c r="A43" s="16"/>
      <c r="C43" s="210" t="s">
        <v>319</v>
      </c>
      <c r="E43" s="69"/>
      <c r="F43" s="20"/>
      <c r="G43" s="20"/>
      <c r="H43" s="20"/>
      <c r="I43" s="56"/>
      <c r="J43" s="56"/>
      <c r="K43" s="24"/>
      <c r="L43" s="25"/>
      <c r="M43" s="221"/>
      <c r="N43" s="221"/>
      <c r="O43" s="221"/>
      <c r="P43" s="217"/>
      <c r="Q43" s="217"/>
      <c r="R43" s="217"/>
      <c r="S43" s="217"/>
      <c r="T43" s="217"/>
      <c r="U43" s="217"/>
    </row>
    <row r="44" spans="1:21" ht="15.75">
      <c r="A44" s="16"/>
      <c r="C44" s="210"/>
      <c r="E44" s="69"/>
      <c r="F44" s="20"/>
      <c r="G44" s="20"/>
      <c r="H44" s="20"/>
      <c r="I44" s="56"/>
      <c r="J44" s="56"/>
      <c r="K44" s="26"/>
      <c r="M44" s="217"/>
      <c r="N44" s="217"/>
      <c r="O44" s="217"/>
      <c r="P44" s="217"/>
      <c r="Q44" s="217"/>
      <c r="R44" s="217"/>
      <c r="S44" s="217"/>
      <c r="T44" s="217" t="s">
        <v>107</v>
      </c>
      <c r="U44" s="222">
        <f>T33-S45</f>
        <v>23.125</v>
      </c>
    </row>
    <row r="45" spans="1:21" ht="18.75">
      <c r="B45" s="177" t="s">
        <v>323</v>
      </c>
      <c r="C45" s="133"/>
      <c r="D45" s="133"/>
      <c r="E45" s="133"/>
      <c r="F45" s="133"/>
      <c r="G45" s="133"/>
      <c r="H45" s="133"/>
      <c r="I45" s="134"/>
      <c r="J45" s="135"/>
      <c r="M45" s="217"/>
      <c r="N45" s="217"/>
      <c r="O45" s="217"/>
      <c r="P45" s="217"/>
      <c r="Q45" s="217"/>
      <c r="R45" s="217"/>
      <c r="S45" s="222"/>
      <c r="T45" s="217">
        <f>((N30-(R30*N30))/Q30+(N31-(R31*N31))/Q31+(N32-(R32*N32))/Q32)/O12</f>
        <v>10</v>
      </c>
      <c r="U45" s="217"/>
    </row>
    <row r="46" spans="1:21" ht="17.25" customHeight="1">
      <c r="B46" s="160"/>
      <c r="D46" s="162"/>
      <c r="E46" s="296" t="s">
        <v>125</v>
      </c>
      <c r="F46" s="296"/>
      <c r="G46" s="296"/>
      <c r="H46" s="296"/>
      <c r="I46" s="296"/>
      <c r="J46" s="296"/>
    </row>
    <row r="47" spans="1:21" ht="17.25">
      <c r="B47" s="291"/>
      <c r="C47" s="293" t="s">
        <v>198</v>
      </c>
      <c r="E47" s="175">
        <f>G47*0.85</f>
        <v>0.68637499999999996</v>
      </c>
      <c r="F47" s="175">
        <f>H47*0.9</f>
        <v>0.76500000000000001</v>
      </c>
      <c r="G47" s="175">
        <f>H47*0.95</f>
        <v>0.8075</v>
      </c>
      <c r="H47" s="176">
        <f>MIN(I3,1)</f>
        <v>0.85</v>
      </c>
      <c r="I47" s="175">
        <f>MIN(H47*1.05,1)</f>
        <v>0.89249999999999996</v>
      </c>
      <c r="J47" s="175">
        <f>MIN(H47*1.1,1)</f>
        <v>0.93500000000000005</v>
      </c>
    </row>
    <row r="48" spans="1:21" ht="17.25">
      <c r="B48" s="291"/>
      <c r="C48" s="293"/>
      <c r="D48" s="78">
        <f>D51*0.7</f>
        <v>287.1812631578947</v>
      </c>
      <c r="E48" s="73">
        <f>$D48*AVERAGE($G$5:$G$6)*E$47+$I$7-($I$27-$I$19-$I$26-$I$17+($D48*AVERAGE($G$5:$G$6)*E$47+$I$7)*$G$21+$I$34)-Inputs!$F$27*($I$27-$I$22-$I$19-$I$26+($D48*AVERAGE($G$5:$G$6)*E$47+$I$7)*$G$21)/2</f>
        <v>-293.05213723613895</v>
      </c>
      <c r="F48" s="73">
        <f>$D48*AVERAGE($G$5:$G$6)*F$47+$I$7-($I$27-$I$19-$I$26-$I$17+($D48*AVERAGE($G$5:$G$6)*F$47+$I$7)*$G$21+$I$34)-Inputs!$F$27*($I$27-$I$22-$I$19-$I$26+($D48*AVERAGE($G$5:$G$6)*F$47+$I$7)*$G$21)/2</f>
        <v>-167.01565215095522</v>
      </c>
      <c r="G48" s="73">
        <f>$D48*AVERAGE($G$5:$G$6)*G$47+$I$7-($I$27-$I$19-$I$26-$I$17+($D48*AVERAGE($G$5:$G$6)*G$47+$I$7)*$G$21+$I$34)-Inputs!$F$27*($I$27-$I$22-$I$19-$I$26+($D48*AVERAGE($G$5:$G$6)*G$47+$I$7)*$G$21)/2</f>
        <v>-98.887822375180036</v>
      </c>
      <c r="H48" s="73">
        <f>$D48*AVERAGE($G$5:$G$6)*H$47+$I$7-($I$27-$I$19-$I$26-$I$17+($D48*AVERAGE($G$5:$G$6)*H$47+$I$7)*$G$21+$I$34)-Inputs!$F$27*($I$27-$I$22-$I$19-$I$26+($D48*AVERAGE($G$5:$G$6)*H$47+$I$7)*$G$21)/2</f>
        <v>-30.759992599405102</v>
      </c>
      <c r="I48" s="73">
        <f>$D48*AVERAGE($G$5:$G$6)*I$47+$I$7-($I$27-$I$19-$I$26-$I$17+($D48*AVERAGE($G$5:$G$6)*I$47+$I$7)*$G$21+$I$34)-Inputs!$F$27*($I$27-$I$22-$I$19-$I$26+($D48*AVERAGE($G$5:$G$6)*I$47+$I$7)*$G$21)/2</f>
        <v>37.367837176369832</v>
      </c>
      <c r="J48" s="73">
        <f>$D48*AVERAGE($G$5:$G$6)*J$47+$I$7-($I$27-$I$19-$I$26-$I$17+($D48*AVERAGE($G$5:$G$6)*J$47+$I$7)*$G$21+$I$34)-Inputs!$F$27*($I$27-$I$22-$I$19-$I$26+($D48*AVERAGE($G$5:$G$6)*J$47+$I$7)*$G$21)/2</f>
        <v>105.49566695214477</v>
      </c>
    </row>
    <row r="49" spans="2:11" ht="17.25">
      <c r="B49" s="291"/>
      <c r="C49" s="293"/>
      <c r="D49" s="78">
        <f>D51*0.8</f>
        <v>328.20715789473684</v>
      </c>
      <c r="E49" s="73">
        <f>$D49*AVERAGE($G$5:$G$6)*E$47+$I$7-($I$27-$I$19-$I$26-$I$17+($D49*AVERAGE($G$5:$G$6)*E$47+$I$7)*$G$21+$I$34)-Inputs!$F$27*($I$27-$I$22-$I$19-$I$26+($D49*AVERAGE($G$5:$G$6)*E$47+$I$7)*$G$21)/2</f>
        <v>-135.87150139631513</v>
      </c>
      <c r="F49" s="73">
        <f>$D49*AVERAGE($G$5:$G$6)*F$47+$I$7-($I$27-$I$19-$I$26-$I$17+($D49*AVERAGE($G$5:$G$6)*F$47+$I$7)*$G$21+$I$34)-Inputs!$F$27*($I$27-$I$22-$I$19-$I$26+($D49*AVERAGE($G$5:$G$6)*F$47+$I$7)*$G$21)/2</f>
        <v>8.1701958438950584</v>
      </c>
      <c r="G49" s="73">
        <f>$D49*AVERAGE($G$5:$G$6)*G$47+$I$7-($I$27-$I$19-$I$26-$I$17+($D49*AVERAGE($G$5:$G$6)*G$47+$I$7)*$G$21+$I$34)-Inputs!$F$27*($I$27-$I$22-$I$19-$I$26+($D49*AVERAGE($G$5:$G$6)*G$47+$I$7)*$G$21)/2</f>
        <v>86.030572730494924</v>
      </c>
      <c r="H49" s="73">
        <f>$D49*AVERAGE($G$5:$G$6)*H$47+$I$7-($I$27-$I$19-$I$26-$I$17+($D49*AVERAGE($G$5:$G$6)*H$47+$I$7)*$G$21+$I$34)-Inputs!$F$27*($I$27-$I$22-$I$19-$I$26+($D49*AVERAGE($G$5:$G$6)*H$47+$I$7)*$G$21)/2</f>
        <v>163.8909496170948</v>
      </c>
      <c r="I49" s="73">
        <f>$D49*AVERAGE($G$5:$G$6)*I$47+$I$7-($I$27-$I$19-$I$26-$I$17+($D49*AVERAGE($G$5:$G$6)*I$47+$I$7)*$G$21+$I$34)-Inputs!$F$27*($I$27-$I$22-$I$19-$I$26+($D49*AVERAGE($G$5:$G$6)*I$47+$I$7)*$G$21)/2</f>
        <v>241.75132650369488</v>
      </c>
      <c r="J49" s="73">
        <f>$D49*AVERAGE($G$5:$G$6)*J$47+$I$7-($I$27-$I$19-$I$26-$I$17+($D49*AVERAGE($G$5:$G$6)*J$47+$I$7)*$G$21+$I$34)-Inputs!$F$27*($I$27-$I$22-$I$19-$I$26+($D49*AVERAGE($G$5:$G$6)*J$47+$I$7)*$G$21)/2</f>
        <v>319.61170339029496</v>
      </c>
    </row>
    <row r="50" spans="2:11" ht="17.25">
      <c r="B50" s="291"/>
      <c r="C50" s="293"/>
      <c r="D50" s="78">
        <f>D51*0.9</f>
        <v>369.23305263157897</v>
      </c>
      <c r="E50" s="73">
        <f>$D50*AVERAGE($G$5:$G$6)*E$47+$I$7-($I$27-$I$19-$I$26-$I$17+($D50*AVERAGE($G$5:$G$6)*E$47+$I$7)*$G$21+$I$34)-Inputs!$F$27*($I$27-$I$22-$I$19-$I$26+($D50*AVERAGE($G$5:$G$6)*E$47+$I$7)*$G$21)/2</f>
        <v>21.309134443508462</v>
      </c>
      <c r="F50" s="73">
        <f>$D50*AVERAGE($G$5:$G$6)*F$47+$I$7-($I$27-$I$19-$I$26-$I$17+($D50*AVERAGE($G$5:$G$6)*F$47+$I$7)*$G$21+$I$34)-Inputs!$F$27*($I$27-$I$22-$I$19-$I$26+($D50*AVERAGE($G$5:$G$6)*F$47+$I$7)*$G$21)/2</f>
        <v>183.35604383874511</v>
      </c>
      <c r="G50" s="73">
        <f>$D50*AVERAGE($G$5:$G$6)*G$47+$I$7-($I$27-$I$19-$I$26-$I$17+($D50*AVERAGE($G$5:$G$6)*G$47+$I$7)*$G$21+$I$34)-Inputs!$F$27*($I$27-$I$22-$I$19-$I$26+($D50*AVERAGE($G$5:$G$6)*G$47+$I$7)*$G$21)/2</f>
        <v>270.94896783616991</v>
      </c>
      <c r="H50" s="73">
        <f>$D50*AVERAGE($G$5:$G$6)*H$47+$I$7-($I$27-$I$19-$I$26-$I$17+($D50*AVERAGE($G$5:$G$6)*H$47+$I$7)*$G$21+$I$34)-Inputs!$F$27*($I$27-$I$22-$I$19-$I$26+($D50*AVERAGE($G$5:$G$6)*H$47+$I$7)*$G$21)/2</f>
        <v>358.54189183359495</v>
      </c>
      <c r="I50" s="73">
        <f>$D50*AVERAGE($G$5:$G$6)*I$47+$I$7-($I$27-$I$19-$I$26-$I$17+($D50*AVERAGE($G$5:$G$6)*I$47+$I$7)*$G$21+$I$34)-Inputs!$F$27*($I$27-$I$22-$I$19-$I$26+($D50*AVERAGE($G$5:$G$6)*I$47+$I$7)*$G$21)/2</f>
        <v>446.13481583101969</v>
      </c>
      <c r="J50" s="73">
        <f>$D50*AVERAGE($G$5:$G$6)*J$47+$I$7-($I$27-$I$19-$I$26-$I$17+($D50*AVERAGE($G$5:$G$6)*J$47+$I$7)*$G$21+$I$34)-Inputs!$F$27*($I$27-$I$22-$I$19-$I$26+($D50*AVERAGE($G$5:$G$6)*J$47+$I$7)*$G$21)/2</f>
        <v>533.72773982844546</v>
      </c>
    </row>
    <row r="51" spans="2:11" ht="17.25">
      <c r="B51" s="291"/>
      <c r="C51" s="293"/>
      <c r="D51" s="79">
        <f>SUMPRODUCT(G5:G6,H5:H6)/11.4</f>
        <v>410.25894736842105</v>
      </c>
      <c r="E51" s="73">
        <f>$D51*AVERAGE($G$5:$G$6)*E$47+$I$7-($I$27-$I$19-$I$26-$I$17+($D51*AVERAGE($G$5:$G$6)*E$47+$I$7)*$G$21+$I$34)-Inputs!$F$27*($I$27-$I$22-$I$19-$I$26+($D51*AVERAGE($G$5:$G$6)*E$47+$I$7)*$G$21)/2</f>
        <v>178.48977028333252</v>
      </c>
      <c r="F51" s="73">
        <f>$D51*AVERAGE($G$5:$G$6)*F$47+$I$7-($I$27-$I$19-$I$26-$I$17+($D51*AVERAGE($G$5:$G$6)*F$47+$I$7)*$G$21+$I$34)-Inputs!$F$27*($I$27-$I$22-$I$19-$I$26+($D51*AVERAGE($G$5:$G$6)*F$47+$I$7)*$G$21)/2</f>
        <v>358.54189183359495</v>
      </c>
      <c r="G51" s="73">
        <f>$D51*AVERAGE($G$5:$G$6)*G$47+$I$7-($I$27-$I$19-$I$26-$I$17+($D51*AVERAGE($G$5:$G$6)*G$47+$I$7)*$G$21+$I$34)-Inputs!$F$27*($I$27-$I$22-$I$19-$I$26+($D51*AVERAGE($G$5:$G$6)*G$47+$I$7)*$G$21)/2</f>
        <v>455.8673629418451</v>
      </c>
      <c r="H51" s="144">
        <f>$D51*AVERAGE($G$5:$G$6)*H$47+$I$7-($I$27-$I$19-$I$26-$I$17+($D51*AVERAGE($G$5:$G$6)*H$47+$I$7)*$G$21+$I$34)-Inputs!$F$27*($I$27-$I$22-$I$19-$I$26+($D51*AVERAGE($G$5:$G$6)*H$47+$I$7)*$G$21)/2</f>
        <v>553.19283405009503</v>
      </c>
      <c r="I51" s="73">
        <f>$D51*AVERAGE($G$5:$G$6)*I$47+$I$7-($I$27-$I$19-$I$26-$I$17+($D51*AVERAGE($G$5:$G$6)*I$47+$I$7)*$G$21+$I$34)-Inputs!$F$27*($I$27-$I$22-$I$19-$I$26+($D51*AVERAGE($G$5:$G$6)*I$47+$I$7)*$G$21)/2</f>
        <v>650.51830515834479</v>
      </c>
      <c r="J51" s="73">
        <f>$D51*AVERAGE($G$5:$G$6)*J$47+$I$7-($I$27-$I$19-$I$26-$I$17+($D51*AVERAGE($G$5:$G$6)*J$47+$I$7)*$G$21+$I$34)-Inputs!$F$27*($I$27-$I$22-$I$19-$I$26+($D51*AVERAGE($G$5:$G$6)*J$47+$I$7)*$G$21)/2</f>
        <v>747.84377626659511</v>
      </c>
    </row>
    <row r="52" spans="2:11" ht="17.25">
      <c r="B52" s="291"/>
      <c r="C52" s="293"/>
      <c r="D52" s="78">
        <f>D51*1.1</f>
        <v>451.28484210526318</v>
      </c>
      <c r="E52" s="73">
        <f>$D52*AVERAGE($G$5:$G$6)*E$47+$I$7-($I$27-$I$19-$I$26-$I$17+($D52*AVERAGE($G$5:$G$6)*E$47+$I$7)*$G$21+$I$34)-Inputs!$F$27*($I$27-$I$22-$I$19-$I$26+($D52*AVERAGE($G$5:$G$6)*E$47+$I$7)*$G$21)/2</f>
        <v>335.67040612315611</v>
      </c>
      <c r="F52" s="73">
        <f>$D52*AVERAGE($G$5:$G$6)*F$47+$I$7-($I$27-$I$19-$I$26-$I$17+($D52*AVERAGE($G$5:$G$6)*F$47+$I$7)*$G$21+$I$34)-Inputs!$F$27*($I$27-$I$22-$I$19-$I$26+($D52*AVERAGE($G$5:$G$6)*F$47+$I$7)*$G$21)/2</f>
        <v>533.72773982844546</v>
      </c>
      <c r="G52" s="73">
        <f>$D52*AVERAGE($G$5:$G$6)*G$47+$I$7-($I$27-$I$19-$I$26-$I$17+($D52*AVERAGE($G$5:$G$6)*G$47+$I$7)*$G$21+$I$34)-Inputs!$F$27*($I$27-$I$22-$I$19-$I$26+($D52*AVERAGE($G$5:$G$6)*G$47+$I$7)*$G$21)/2</f>
        <v>640.78575804752006</v>
      </c>
      <c r="H52" s="73">
        <f>$D52*AVERAGE($G$5:$G$6)*H$47+$I$7-($I$27-$I$19-$I$26-$I$17+($D52*AVERAGE($G$5:$G$6)*H$47+$I$7)*$G$21+$I$34)-Inputs!$F$27*($I$27-$I$22-$I$19-$I$26+($D52*AVERAGE($G$5:$G$6)*H$47+$I$7)*$G$21)/2</f>
        <v>747.84377626659511</v>
      </c>
      <c r="I52" s="73">
        <f>$D52*AVERAGE($G$5:$G$6)*I$47+$I$7-($I$27-$I$19-$I$26-$I$17+($D52*AVERAGE($G$5:$G$6)*I$47+$I$7)*$G$21+$I$34)-Inputs!$F$27*($I$27-$I$22-$I$19-$I$26+($D52*AVERAGE($G$5:$G$6)*I$47+$I$7)*$G$21)/2</f>
        <v>854.90179448566983</v>
      </c>
      <c r="J52" s="73">
        <f>$D52*AVERAGE($G$5:$G$6)*J$47+$I$7-($I$27-$I$19-$I$26-$I$17+($D52*AVERAGE($G$5:$G$6)*J$47+$I$7)*$G$21+$I$34)-Inputs!$F$27*($I$27-$I$22-$I$19-$I$26+($D52*AVERAGE($G$5:$G$6)*J$47+$I$7)*$G$21)/2</f>
        <v>961.95981270474533</v>
      </c>
    </row>
    <row r="53" spans="2:11" ht="17.25">
      <c r="B53" s="291"/>
      <c r="C53" s="293"/>
      <c r="D53" s="78">
        <f>D51*1.2</f>
        <v>492.31073684210526</v>
      </c>
      <c r="E53" s="73">
        <f>$D53*AVERAGE($G$5:$G$6)*E$47+$I$7-($I$27-$I$19-$I$26-$I$17+($D53*AVERAGE($G$5:$G$6)*E$47+$I$7)*$G$21+$I$34)-Inputs!$F$27*($I$27-$I$22-$I$19-$I$26+($D53*AVERAGE($G$5:$G$6)*E$47+$I$7)*$G$21)/2</f>
        <v>492.85104196297993</v>
      </c>
      <c r="F53" s="73">
        <f>$D53*AVERAGE($G$5:$G$6)*F$47+$I$7-($I$27-$I$19-$I$26-$I$17+($D53*AVERAGE($G$5:$G$6)*F$47+$I$7)*$G$21+$I$34)-Inputs!$F$27*($I$27-$I$22-$I$19-$I$26+($D53*AVERAGE($G$5:$G$6)*F$47+$I$7)*$G$21)/2</f>
        <v>708.91358782329496</v>
      </c>
      <c r="G53" s="73">
        <f>$D53*AVERAGE($G$5:$G$6)*G$47+$I$7-($I$27-$I$19-$I$26-$I$17+($D53*AVERAGE($G$5:$G$6)*G$47+$I$7)*$G$21+$I$34)-Inputs!$F$27*($I$27-$I$22-$I$19-$I$26+($D53*AVERAGE($G$5:$G$6)*G$47+$I$7)*$G$21)/2</f>
        <v>825.70415315319485</v>
      </c>
      <c r="H53" s="73">
        <f>$D53*AVERAGE($G$5:$G$6)*H$47+$I$7-($I$27-$I$19-$I$26-$I$17+($D53*AVERAGE($G$5:$G$6)*H$47+$I$7)*$G$21+$I$34)-Inputs!$F$27*($I$27-$I$22-$I$19-$I$26+($D53*AVERAGE($G$5:$G$6)*H$47+$I$7)*$G$21)/2</f>
        <v>942.49471848309486</v>
      </c>
      <c r="I53" s="73">
        <f>$D53*AVERAGE($G$5:$G$6)*I$47+$I$7-($I$27-$I$19-$I$26-$I$17+($D53*AVERAGE($G$5:$G$6)*I$47+$I$7)*$G$21+$I$34)-Inputs!$F$27*($I$27-$I$22-$I$19-$I$26+($D53*AVERAGE($G$5:$G$6)*I$47+$I$7)*$G$21)/2</f>
        <v>1059.285283812995</v>
      </c>
      <c r="J53" s="73">
        <f>$D53*AVERAGE($G$5:$G$6)*J$47+$I$7-($I$27-$I$19-$I$26-$I$17+($D53*AVERAGE($G$5:$G$6)*J$47+$I$7)*$G$21+$I$34)-Inputs!$F$27*($I$27-$I$22-$I$19-$I$26+($D53*AVERAGE($G$5:$G$6)*J$47+$I$7)*$G$21)/2</f>
        <v>1176.0758491428951</v>
      </c>
    </row>
    <row r="54" spans="2:11" ht="17.25">
      <c r="B54" s="292"/>
      <c r="C54" s="294"/>
      <c r="D54" s="163">
        <f>D51*1.3</f>
        <v>533.33663157894739</v>
      </c>
      <c r="E54" s="73">
        <f>$D54*AVERAGE($G$5:$G$6)*E$47+$I$7-($I$27-$I$19-$I$26-$I$17+($D54*AVERAGE($G$5:$G$6)*E$47+$I$7)*$G$21+$I$34)-Inputs!$F$27*($I$27-$I$22-$I$19-$I$26+($D54*AVERAGE($G$5:$G$6)*E$47+$I$7)*$G$21)/2</f>
        <v>650.03167780280353</v>
      </c>
      <c r="F54" s="73">
        <f>$D54*AVERAGE($G$5:$G$6)*F$47+$I$7-($I$27-$I$19-$I$26-$I$17+($D54*AVERAGE($G$5:$G$6)*F$47+$I$7)*$G$21+$I$34)-Inputs!$F$27*($I$27-$I$22-$I$19-$I$26+($D54*AVERAGE($G$5:$G$6)*F$47+$I$7)*$G$21)/2</f>
        <v>884.09943581814503</v>
      </c>
      <c r="G54" s="73">
        <f>$D54*AVERAGE($G$5:$G$6)*G$47+$I$7-($I$27-$I$19-$I$26-$I$17+($D54*AVERAGE($G$5:$G$6)*G$47+$I$7)*$G$21+$I$34)-Inputs!$F$27*($I$27-$I$22-$I$19-$I$26+($D54*AVERAGE($G$5:$G$6)*G$47+$I$7)*$G$21)/2</f>
        <v>1010.6225482588702</v>
      </c>
      <c r="H54" s="73">
        <f>$D54*AVERAGE($G$5:$G$6)*H$47+$I$7-($I$27-$I$19-$I$26-$I$17+($D54*AVERAGE($G$5:$G$6)*H$47+$I$7)*$G$21+$I$34)-Inputs!$F$27*($I$27-$I$22-$I$19-$I$26+($D54*AVERAGE($G$5:$G$6)*H$47+$I$7)*$G$21)/2</f>
        <v>1137.1456606995951</v>
      </c>
      <c r="I54" s="73">
        <f>$D54*AVERAGE($G$5:$G$6)*I$47+$I$7-($I$27-$I$19-$I$26-$I$17+($D54*AVERAGE($G$5:$G$6)*I$47+$I$7)*$G$21+$I$34)-Inputs!$F$27*($I$27-$I$22-$I$19-$I$26+($D54*AVERAGE($G$5:$G$6)*I$47+$I$7)*$G$21)/2</f>
        <v>1263.6687731403201</v>
      </c>
      <c r="J54" s="73">
        <f>$D54*AVERAGE($G$5:$G$6)*J$47+$I$7-($I$27-$I$19-$I$26-$I$17+($D54*AVERAGE($G$5:$G$6)*J$47+$I$7)*$G$21+$I$34)-Inputs!$F$27*($I$27-$I$22-$I$19-$I$26+($D54*AVERAGE($G$5:$G$6)*J$47+$I$7)*$G$21)/2</f>
        <v>1390.1918855810454</v>
      </c>
      <c r="K54" s="75"/>
    </row>
    <row r="55" spans="2:11" ht="16.5">
      <c r="B55" s="74"/>
      <c r="C55" s="76"/>
      <c r="D55" s="76"/>
      <c r="E55" s="76"/>
      <c r="F55" s="75"/>
      <c r="G55" s="75"/>
      <c r="H55" s="75"/>
      <c r="I55" s="75"/>
      <c r="J55" s="75"/>
      <c r="K55" s="75"/>
    </row>
    <row r="56" spans="2:11" ht="16.5">
      <c r="B56" s="75"/>
      <c r="C56" s="76"/>
      <c r="D56" s="76"/>
      <c r="E56" s="76"/>
      <c r="F56" s="75"/>
      <c r="G56" s="75"/>
      <c r="H56" s="75"/>
      <c r="I56" s="75"/>
      <c r="J56" s="75"/>
      <c r="K56" s="75"/>
    </row>
    <row r="57" spans="2:11" ht="16.5">
      <c r="B57" s="75"/>
      <c r="C57" s="76"/>
      <c r="D57" s="76"/>
      <c r="E57" s="76"/>
      <c r="F57" s="75"/>
      <c r="G57" s="75"/>
      <c r="H57" s="75"/>
      <c r="I57" s="75"/>
      <c r="J57" s="75"/>
      <c r="K57" s="75"/>
    </row>
    <row r="58" spans="2:11" ht="16.5">
      <c r="B58" s="75"/>
      <c r="F58" s="75"/>
      <c r="G58" s="75"/>
      <c r="H58" s="75"/>
      <c r="I58" s="75"/>
      <c r="J58" s="75"/>
    </row>
  </sheetData>
  <sheetProtection sheet="1" objects="1" scenarios="1"/>
  <protectedRanges>
    <protectedRange sqref="G5:H7 I8:J8 I3:J3 G12 G17 G19 G21 I18:J18 I24:I25 G30 M3:N6 P3:P6 O12:O25 Q13:T18 N30:O32 M32 Q30:R32" name="Grey cells"/>
  </protectedRanges>
  <mergeCells count="17">
    <mergeCell ref="U11:U12"/>
    <mergeCell ref="B47:B54"/>
    <mergeCell ref="C47:C54"/>
    <mergeCell ref="R28:R29"/>
    <mergeCell ref="S28:S29"/>
    <mergeCell ref="T28:T29"/>
    <mergeCell ref="E46:J46"/>
    <mergeCell ref="M28:M29"/>
    <mergeCell ref="N28:N29"/>
    <mergeCell ref="O28:O29"/>
    <mergeCell ref="P28:P29"/>
    <mergeCell ref="Q28:Q29"/>
    <mergeCell ref="B1:J1"/>
    <mergeCell ref="Q11:Q12"/>
    <mergeCell ref="R11:R12"/>
    <mergeCell ref="S11:S12"/>
    <mergeCell ref="T11:T12"/>
  </mergeCells>
  <dataValidations count="2">
    <dataValidation type="list" allowBlank="1" showInputMessage="1" showErrorMessage="1" sqref="O17" xr:uid="{51279426-035E-411F-A641-3E939A3437D2}">
      <formula1>$T$23:$T$24</formula1>
    </dataValidation>
    <dataValidation type="decimal" allowBlank="1" showInputMessage="1" showErrorMessage="1" sqref="I3:J3" xr:uid="{7D478116-A076-40C0-B3B4-0F54BE6A6008}">
      <formula1>0</formula1>
      <formula2>1</formula2>
    </dataValidation>
  </dataValidations>
  <pageMargins left="0.7" right="0.7" top="0.75" bottom="0.75" header="0.3" footer="0.3"/>
  <pageSetup scale="77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90590-6769-47AB-9EBE-2EA5FFA2BB40}">
          <x14:formula1>
            <xm:f>Inputs!$B$10:$B$21</xm:f>
          </x14:formula1>
          <xm:sqref>M3:M6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87E8-3000-4566-8F4E-B64C0C6005B9}">
  <sheetPr>
    <pageSetUpPr fitToPage="1"/>
  </sheetPr>
  <dimension ref="A1:U55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44140625" style="13" customWidth="1"/>
    <col min="3" max="3" width="22.33203125" style="13" customWidth="1"/>
    <col min="4" max="4" width="9.44140625" style="13" customWidth="1"/>
    <col min="5" max="5" width="7.77734375" style="13" bestFit="1" customWidth="1"/>
    <col min="6" max="6" width="8.5546875" style="13" customWidth="1"/>
    <col min="7" max="7" width="8" style="13" bestFit="1" customWidth="1"/>
    <col min="8" max="8" width="10" style="13" customWidth="1"/>
    <col min="9" max="9" width="10.77734375" style="13" bestFit="1" customWidth="1"/>
    <col min="10" max="10" width="6.88671875" style="13" bestFit="1" customWidth="1"/>
    <col min="11" max="11" width="17.33203125" style="13" customWidth="1"/>
    <col min="12" max="12" width="12.44140625" style="13" customWidth="1"/>
    <col min="13" max="13" width="10.21875" style="13" customWidth="1"/>
    <col min="14" max="14" width="9.109375" style="13" customWidth="1"/>
    <col min="15" max="15" width="14.88671875" style="13" customWidth="1"/>
    <col min="16" max="16" width="7.6640625" style="13" customWidth="1"/>
    <col min="17" max="17" width="8.77734375" style="13" customWidth="1"/>
    <col min="18" max="18" width="9.109375" style="13" customWidth="1"/>
    <col min="19" max="19" width="8.77734375" style="13" bestFit="1" customWidth="1"/>
    <col min="20" max="20" width="3.33203125" style="13" customWidth="1"/>
    <col min="21" max="21" width="0" style="13" hidden="1" customWidth="1"/>
    <col min="22" max="16384" width="8.88671875" style="13" hidden="1"/>
  </cols>
  <sheetData>
    <row r="1" spans="1:19" ht="20.100000000000001" customHeight="1">
      <c r="B1" s="150" t="s">
        <v>166</v>
      </c>
      <c r="C1" s="151"/>
      <c r="D1" s="152"/>
      <c r="E1" s="152"/>
      <c r="F1" s="152"/>
      <c r="G1" s="152"/>
      <c r="H1" s="152"/>
      <c r="I1" s="152"/>
      <c r="K1" s="106" t="s">
        <v>134</v>
      </c>
      <c r="L1" s="106"/>
      <c r="M1" s="106"/>
      <c r="N1" s="106"/>
      <c r="O1" s="106"/>
      <c r="P1" s="156"/>
      <c r="Q1" s="107"/>
      <c r="R1" s="107"/>
      <c r="S1" s="107"/>
    </row>
    <row r="2" spans="1:19" ht="30">
      <c r="B2" s="18" t="s">
        <v>25</v>
      </c>
      <c r="C2" s="17"/>
      <c r="D2" s="17"/>
      <c r="E2" s="17"/>
      <c r="F2" s="18" t="s">
        <v>38</v>
      </c>
      <c r="G2" s="18" t="s">
        <v>47</v>
      </c>
      <c r="H2" s="18" t="s">
        <v>48</v>
      </c>
      <c r="I2" s="172" t="s">
        <v>203</v>
      </c>
      <c r="K2" s="164" t="s">
        <v>58</v>
      </c>
      <c r="L2" s="165" t="s">
        <v>59</v>
      </c>
      <c r="M2" s="165" t="s">
        <v>76</v>
      </c>
      <c r="N2" s="165" t="s">
        <v>60</v>
      </c>
      <c r="O2" s="165" t="s">
        <v>38</v>
      </c>
      <c r="P2" s="165" t="s">
        <v>169</v>
      </c>
      <c r="Q2" s="165" t="s">
        <v>152</v>
      </c>
      <c r="R2" s="165" t="s">
        <v>151</v>
      </c>
      <c r="S2" s="165" t="s">
        <v>150</v>
      </c>
    </row>
    <row r="3" spans="1:19" ht="15.95" customHeight="1">
      <c r="A3" s="16"/>
      <c r="B3" s="120" t="s">
        <v>10</v>
      </c>
      <c r="C3" s="20" t="s">
        <v>111</v>
      </c>
      <c r="D3" s="20"/>
      <c r="E3" s="20"/>
      <c r="F3" s="51" t="s">
        <v>114</v>
      </c>
      <c r="G3" s="52">
        <v>0.875</v>
      </c>
      <c r="H3" s="53">
        <v>4000</v>
      </c>
      <c r="I3" s="54">
        <f>G3*H3*(1-M14)</f>
        <v>3465</v>
      </c>
      <c r="K3" s="37" t="s">
        <v>22</v>
      </c>
      <c r="L3" s="37">
        <v>25</v>
      </c>
      <c r="M3" s="38">
        <f>L3/(M$16+$M$19/$M$12)</f>
        <v>2.556237218813906E-2</v>
      </c>
      <c r="N3" s="37">
        <v>120</v>
      </c>
      <c r="O3" s="62" t="str">
        <f>VLOOKUP(K3,Inputs!$B$10:$F$21,2,FALSE)</f>
        <v>ton</v>
      </c>
      <c r="P3" s="39">
        <f>L3*N3/VLOOKUP(K3,Inputs!$B$10:$F$21,3,FALSE)/IF(K3="Pasture",1,VLOOKUP(K3,Inputs!$B$10:$F$21,4,FALSE))</f>
        <v>1.7647058823529411</v>
      </c>
      <c r="Q3" s="27">
        <f>P3*VLOOKUP(K3,Inputs!$B$10:$F$21,5,FALSE)</f>
        <v>158.8235294117647</v>
      </c>
      <c r="R3" s="40">
        <f t="shared" ref="R3:S6" si="0">P3*$M$12</f>
        <v>88.235294117647058</v>
      </c>
      <c r="S3" s="27">
        <f t="shared" si="0"/>
        <v>7941.1764705882351</v>
      </c>
    </row>
    <row r="4" spans="1:19" ht="15.95" customHeight="1">
      <c r="A4" s="16"/>
      <c r="B4" s="120" t="s">
        <v>11</v>
      </c>
      <c r="C4" s="20" t="s">
        <v>112</v>
      </c>
      <c r="D4" s="20"/>
      <c r="E4" s="20"/>
      <c r="F4" s="51" t="s">
        <v>50</v>
      </c>
      <c r="G4" s="52">
        <v>7</v>
      </c>
      <c r="H4" s="53">
        <v>367.52</v>
      </c>
      <c r="I4" s="54">
        <f>G4*H4*M15*(1-M14)</f>
        <v>89.141976</v>
      </c>
      <c r="J4" s="15"/>
      <c r="K4" s="37" t="s">
        <v>353</v>
      </c>
      <c r="L4" s="37">
        <v>2.5</v>
      </c>
      <c r="M4" s="38">
        <f t="shared" ref="M4:M6" si="1">L4/(M$16+$M$19/$M$12)</f>
        <v>2.5562372188139061E-3</v>
      </c>
      <c r="N4" s="37">
        <v>180</v>
      </c>
      <c r="O4" s="62" t="str">
        <f>VLOOKUP(K4,Inputs!$B$10:$F$21,2,FALSE)</f>
        <v>bushel</v>
      </c>
      <c r="P4" s="39">
        <f>L4*N4/VLOOKUP(K4,Inputs!$B$10:$F$21,3,FALSE)/IF(K4="Pasture",1,VLOOKUP(K4,Inputs!$B$10:$F$21,4,FALSE))</f>
        <v>9.453781512605044</v>
      </c>
      <c r="Q4" s="27">
        <f>P4*VLOOKUP(K4,Inputs!$B$10:$F$21,5,FALSE)</f>
        <v>49.632352941176478</v>
      </c>
      <c r="R4" s="40">
        <f t="shared" si="0"/>
        <v>472.6890756302522</v>
      </c>
      <c r="S4" s="27">
        <f t="shared" si="0"/>
        <v>2481.6176470588239</v>
      </c>
    </row>
    <row r="5" spans="1:19" ht="15.95" customHeight="1">
      <c r="A5" s="21"/>
      <c r="B5" s="120" t="s">
        <v>17</v>
      </c>
      <c r="C5" s="20" t="s">
        <v>113</v>
      </c>
      <c r="D5" s="20"/>
      <c r="E5" s="20"/>
      <c r="F5" s="51" t="s">
        <v>50</v>
      </c>
      <c r="G5" s="52">
        <v>9</v>
      </c>
      <c r="H5" s="53">
        <v>350.44</v>
      </c>
      <c r="I5" s="54">
        <f>G5*H5*M13*(1-M14)</f>
        <v>249.793632</v>
      </c>
      <c r="J5" s="15"/>
      <c r="K5" s="37" t="s">
        <v>41</v>
      </c>
      <c r="L5" s="37">
        <v>2.5</v>
      </c>
      <c r="M5" s="38">
        <f t="shared" si="1"/>
        <v>2.5562372188139061E-3</v>
      </c>
      <c r="N5" s="37">
        <v>180</v>
      </c>
      <c r="O5" s="62" t="str">
        <f>VLOOKUP(K5,Inputs!$B$10:$F$21,2,FALSE)</f>
        <v>ton</v>
      </c>
      <c r="P5" s="39">
        <f>L5*N5/VLOOKUP(K5,Inputs!$B$10:$F$21,3,FALSE)/IF(K5="Pasture",1,VLOOKUP(K5,Inputs!$B$10:$F$21,4,FALSE))</f>
        <v>0.25568181818181818</v>
      </c>
      <c r="Q5" s="27">
        <f>P5*VLOOKUP(K5,Inputs!$B$10:$F$21,5,FALSE)</f>
        <v>44.74431818181818</v>
      </c>
      <c r="R5" s="40">
        <f t="shared" si="0"/>
        <v>12.784090909090908</v>
      </c>
      <c r="S5" s="27">
        <f t="shared" si="0"/>
        <v>2237.215909090909</v>
      </c>
    </row>
    <row r="6" spans="1:19" ht="15.95" customHeight="1">
      <c r="A6" s="21"/>
      <c r="B6" s="120"/>
      <c r="C6" s="20" t="s">
        <v>5</v>
      </c>
      <c r="D6" s="20"/>
      <c r="E6" s="20"/>
      <c r="F6" s="51"/>
      <c r="G6" s="20"/>
      <c r="H6" s="20"/>
      <c r="I6" s="28"/>
      <c r="J6" s="22"/>
      <c r="K6" s="37" t="s">
        <v>36</v>
      </c>
      <c r="L6" s="37">
        <v>0.15</v>
      </c>
      <c r="M6" s="38">
        <f t="shared" si="1"/>
        <v>1.5337423312883434E-4</v>
      </c>
      <c r="N6" s="37">
        <v>365</v>
      </c>
      <c r="O6" s="62" t="str">
        <f>VLOOKUP(K6,Inputs!$B$10:$F$21,2,FALSE)</f>
        <v>pound</v>
      </c>
      <c r="P6" s="39">
        <f>L6*N6/VLOOKUP(K6,Inputs!$B$10:$F$21,3,FALSE)/IF(K6="Pasture",1,VLOOKUP(K6,Inputs!$B$10:$F$21,4,FALSE))</f>
        <v>55.867346938775512</v>
      </c>
      <c r="Q6" s="43">
        <f>P6*VLOOKUP(K6,Inputs!$B$10:$F$21,5,FALSE)</f>
        <v>33.520408163265309</v>
      </c>
      <c r="R6" s="40">
        <f t="shared" si="0"/>
        <v>2793.3673469387754</v>
      </c>
      <c r="S6" s="43">
        <f t="shared" si="0"/>
        <v>1676.0204081632655</v>
      </c>
    </row>
    <row r="7" spans="1:19" ht="15.95" customHeight="1">
      <c r="A7" s="21"/>
      <c r="B7" s="20"/>
      <c r="C7" s="69"/>
      <c r="D7" s="69"/>
      <c r="E7" s="69"/>
      <c r="F7" s="51"/>
      <c r="G7" s="20"/>
      <c r="H7" s="55" t="s">
        <v>26</v>
      </c>
      <c r="I7" s="56">
        <f>SUM(I3:I5)</f>
        <v>3803.9356079999998</v>
      </c>
      <c r="K7" s="32"/>
      <c r="L7" s="32"/>
      <c r="M7" s="109"/>
      <c r="N7" s="32"/>
      <c r="O7" s="32"/>
      <c r="P7" s="104" t="s">
        <v>77</v>
      </c>
      <c r="Q7" s="111">
        <f>SUM(Q3:Q6)</f>
        <v>286.72060869802465</v>
      </c>
      <c r="R7" s="42"/>
      <c r="S7" s="111">
        <f>SUM(S3:S6)</f>
        <v>14336.030434901233</v>
      </c>
    </row>
    <row r="8" spans="1:19" ht="15.95" customHeight="1">
      <c r="A8" s="21"/>
      <c r="B8" s="20"/>
      <c r="C8" s="69"/>
      <c r="D8" s="69"/>
      <c r="E8" s="69"/>
      <c r="F8" s="51"/>
      <c r="G8" s="20"/>
      <c r="H8" s="20"/>
      <c r="I8" s="57"/>
      <c r="K8" s="49"/>
      <c r="L8" s="48"/>
      <c r="M8" s="48"/>
      <c r="N8" s="48"/>
    </row>
    <row r="9" spans="1:19" ht="15.95" customHeight="1">
      <c r="A9" s="21"/>
      <c r="B9" s="18" t="s">
        <v>24</v>
      </c>
      <c r="C9" s="17"/>
      <c r="D9" s="17"/>
      <c r="E9" s="17"/>
      <c r="F9" s="18" t="s">
        <v>38</v>
      </c>
      <c r="G9" s="18" t="s">
        <v>47</v>
      </c>
      <c r="H9" s="18" t="s">
        <v>48</v>
      </c>
      <c r="I9" s="172" t="s">
        <v>203</v>
      </c>
      <c r="K9" s="48"/>
      <c r="L9" s="48"/>
      <c r="M9" s="48"/>
      <c r="N9" s="48"/>
    </row>
    <row r="10" spans="1:19" ht="15.95" customHeight="1">
      <c r="A10" s="16"/>
      <c r="B10" s="20"/>
      <c r="C10" s="20" t="s">
        <v>347</v>
      </c>
      <c r="D10" s="20"/>
      <c r="E10" s="20"/>
      <c r="F10" s="51" t="s">
        <v>50</v>
      </c>
      <c r="G10" s="52">
        <v>5.5</v>
      </c>
      <c r="H10" s="53">
        <v>479.4</v>
      </c>
      <c r="I10" s="66">
        <f>G10*H10</f>
        <v>2636.7</v>
      </c>
      <c r="K10" s="106" t="s">
        <v>62</v>
      </c>
      <c r="L10" s="106"/>
      <c r="M10" s="106"/>
      <c r="O10" s="106" t="s">
        <v>83</v>
      </c>
      <c r="P10" s="106"/>
      <c r="Q10" s="106"/>
      <c r="R10" s="106"/>
      <c r="S10" s="106"/>
    </row>
    <row r="11" spans="1:19" ht="15.95" customHeight="1">
      <c r="A11" s="16"/>
      <c r="B11" s="20"/>
      <c r="C11" s="20" t="s">
        <v>3</v>
      </c>
      <c r="D11" s="20"/>
      <c r="E11" s="20"/>
      <c r="F11" s="51" t="s">
        <v>327</v>
      </c>
      <c r="G11" s="223">
        <v>2</v>
      </c>
      <c r="H11" s="54">
        <f>Inputs!F3+Inputs!F4+Inputs!F5+SUMPRODUCT(Inputs!F6:F8,Inputs!F24:F26)</f>
        <v>106.7</v>
      </c>
      <c r="I11" s="54">
        <f>G11*H11</f>
        <v>213.4</v>
      </c>
      <c r="K11" s="110"/>
      <c r="L11" s="110" t="s">
        <v>38</v>
      </c>
      <c r="M11" s="110" t="s">
        <v>47</v>
      </c>
      <c r="O11" s="290" t="s">
        <v>82</v>
      </c>
      <c r="P11" s="290" t="s">
        <v>84</v>
      </c>
      <c r="Q11" s="290" t="s">
        <v>194</v>
      </c>
      <c r="R11" s="290" t="s">
        <v>195</v>
      </c>
      <c r="S11" s="290" t="s">
        <v>86</v>
      </c>
    </row>
    <row r="12" spans="1:19" ht="15.95" customHeight="1">
      <c r="A12" s="16"/>
      <c r="B12" s="20"/>
      <c r="C12" s="20" t="str">
        <f t="shared" ref="C12:C15" si="2">K3</f>
        <v>Mixed hay</v>
      </c>
      <c r="D12" s="20"/>
      <c r="E12" s="20"/>
      <c r="F12" s="51" t="str">
        <f t="shared" ref="F12:G12" si="3">O3</f>
        <v>ton</v>
      </c>
      <c r="G12" s="58">
        <f t="shared" si="3"/>
        <v>1.7647058823529411</v>
      </c>
      <c r="H12" s="54">
        <f>VLOOKUP(C12,Inputs!$B$10:$F$21,5,FALSE)</f>
        <v>90</v>
      </c>
      <c r="I12" s="54">
        <f t="shared" ref="I12:I15" si="4">Q3</f>
        <v>158.8235294117647</v>
      </c>
      <c r="K12" s="13" t="s">
        <v>115</v>
      </c>
      <c r="L12" s="4" t="s">
        <v>116</v>
      </c>
      <c r="M12" s="37">
        <v>50</v>
      </c>
      <c r="O12" s="274"/>
      <c r="P12" s="274"/>
      <c r="Q12" s="274"/>
      <c r="R12" s="274"/>
      <c r="S12" s="274"/>
    </row>
    <row r="13" spans="1:19" ht="15.95" customHeight="1">
      <c r="A13" s="16"/>
      <c r="B13" s="20"/>
      <c r="C13" s="20" t="str">
        <f t="shared" si="2"/>
        <v>Purchased corn</v>
      </c>
      <c r="D13" s="20"/>
      <c r="E13" s="20"/>
      <c r="F13" s="51" t="str">
        <f t="shared" ref="F13:G13" si="5">O4</f>
        <v>bushel</v>
      </c>
      <c r="G13" s="58">
        <f t="shared" si="5"/>
        <v>9.453781512605044</v>
      </c>
      <c r="H13" s="54">
        <f>VLOOKUP(C13,Inputs!$B$10:$F$21,5,FALSE)</f>
        <v>5.25</v>
      </c>
      <c r="I13" s="54">
        <f t="shared" si="4"/>
        <v>49.632352941176478</v>
      </c>
      <c r="K13" s="13" t="s">
        <v>118</v>
      </c>
      <c r="L13" s="4" t="s">
        <v>119</v>
      </c>
      <c r="M13" s="170">
        <f>1-G3-M14-M15</f>
        <v>0.08</v>
      </c>
      <c r="O13" s="37" t="s">
        <v>175</v>
      </c>
      <c r="P13" s="44">
        <v>55</v>
      </c>
      <c r="Q13" s="37">
        <v>0.66700000000000004</v>
      </c>
      <c r="R13" s="37">
        <v>75</v>
      </c>
      <c r="S13" s="27">
        <f>P13*Q13*R13</f>
        <v>2751.375</v>
      </c>
    </row>
    <row r="14" spans="1:19" ht="15.95" customHeight="1">
      <c r="A14" s="16"/>
      <c r="B14" s="20"/>
      <c r="C14" s="20" t="str">
        <f t="shared" si="2"/>
        <v>Dried distillers grains</v>
      </c>
      <c r="D14" s="20"/>
      <c r="E14" s="20"/>
      <c r="F14" s="51" t="str">
        <f t="shared" ref="F14:G14" si="6">O5</f>
        <v>ton</v>
      </c>
      <c r="G14" s="58">
        <f t="shared" si="6"/>
        <v>0.25568181818181818</v>
      </c>
      <c r="H14" s="84">
        <f>VLOOKUP(C14,Inputs!$B$10:$F$21,5,FALSE)</f>
        <v>175</v>
      </c>
      <c r="I14" s="54">
        <f t="shared" si="4"/>
        <v>44.74431818181818</v>
      </c>
      <c r="K14" s="13" t="s">
        <v>117</v>
      </c>
      <c r="L14" s="4" t="s">
        <v>120</v>
      </c>
      <c r="M14" s="45">
        <v>0.01</v>
      </c>
      <c r="O14" s="37" t="s">
        <v>90</v>
      </c>
      <c r="P14" s="44">
        <v>10</v>
      </c>
      <c r="Q14" s="37">
        <v>3</v>
      </c>
      <c r="R14" s="37">
        <v>10</v>
      </c>
      <c r="S14" s="27">
        <f t="shared" ref="S14:S18" si="7">P14*Q14*R14</f>
        <v>300</v>
      </c>
    </row>
    <row r="15" spans="1:19" ht="15.95" customHeight="1">
      <c r="A15" s="16"/>
      <c r="B15" s="20"/>
      <c r="C15" s="20" t="str">
        <f t="shared" si="2"/>
        <v>Salt and minerals</v>
      </c>
      <c r="D15" s="20"/>
      <c r="E15" s="20"/>
      <c r="F15" s="51" t="str">
        <f t="shared" ref="F15:G15" si="8">O6</f>
        <v>pound</v>
      </c>
      <c r="G15" s="58">
        <f t="shared" si="8"/>
        <v>55.867346938775512</v>
      </c>
      <c r="H15" s="84">
        <f>VLOOKUP(C15,Inputs!$B$10:$F$21,5,FALSE)</f>
        <v>0.6</v>
      </c>
      <c r="I15" s="54">
        <f t="shared" si="4"/>
        <v>33.520408163265309</v>
      </c>
      <c r="K15" s="13" t="s">
        <v>202</v>
      </c>
      <c r="L15" s="4" t="s">
        <v>120</v>
      </c>
      <c r="M15" s="253">
        <v>3.5000000000000003E-2</v>
      </c>
      <c r="O15" s="37" t="s">
        <v>87</v>
      </c>
      <c r="P15" s="44">
        <v>32</v>
      </c>
      <c r="Q15" s="37">
        <v>0.5</v>
      </c>
      <c r="R15" s="37">
        <v>60</v>
      </c>
      <c r="S15" s="102">
        <f t="shared" si="7"/>
        <v>960</v>
      </c>
    </row>
    <row r="16" spans="1:19" ht="15.95" customHeight="1">
      <c r="A16" s="16"/>
      <c r="B16" s="20"/>
      <c r="C16" s="20" t="s">
        <v>12</v>
      </c>
      <c r="D16" s="20"/>
      <c r="E16" s="20"/>
      <c r="F16" s="51" t="s">
        <v>55</v>
      </c>
      <c r="G16" s="52">
        <v>5</v>
      </c>
      <c r="H16" s="54">
        <f>Inputs!F23</f>
        <v>22</v>
      </c>
      <c r="I16" s="54">
        <f>G16*H16</f>
        <v>110</v>
      </c>
      <c r="K16" s="13" t="s">
        <v>121</v>
      </c>
      <c r="L16" s="4" t="s">
        <v>122</v>
      </c>
      <c r="M16" s="100">
        <v>950</v>
      </c>
      <c r="O16" s="37" t="s">
        <v>88</v>
      </c>
      <c r="P16" s="44">
        <v>20</v>
      </c>
      <c r="Q16" s="37">
        <v>3</v>
      </c>
      <c r="R16" s="37">
        <v>8</v>
      </c>
      <c r="S16" s="103">
        <f t="shared" si="7"/>
        <v>480</v>
      </c>
    </row>
    <row r="17" spans="1:19" ht="15.95" customHeight="1">
      <c r="A17" s="16"/>
      <c r="B17" s="20"/>
      <c r="C17" s="20" t="s">
        <v>0</v>
      </c>
      <c r="D17" s="20"/>
      <c r="E17" s="20"/>
      <c r="F17" s="51"/>
      <c r="G17" s="20"/>
      <c r="H17" s="20"/>
      <c r="I17" s="53">
        <v>35</v>
      </c>
      <c r="K17" s="13" t="s">
        <v>64</v>
      </c>
      <c r="L17" s="4" t="s">
        <v>73</v>
      </c>
      <c r="M17" s="37">
        <v>1</v>
      </c>
      <c r="O17" s="37" t="s">
        <v>89</v>
      </c>
      <c r="P17" s="44">
        <v>12</v>
      </c>
      <c r="Q17" s="37">
        <v>1</v>
      </c>
      <c r="R17" s="37">
        <v>180</v>
      </c>
      <c r="S17" s="102">
        <f t="shared" si="7"/>
        <v>2160</v>
      </c>
    </row>
    <row r="18" spans="1:19" ht="15.95" customHeight="1">
      <c r="A18" s="16"/>
      <c r="B18" s="20"/>
      <c r="C18" s="20" t="s">
        <v>14</v>
      </c>
      <c r="D18" s="20"/>
      <c r="E18" s="20"/>
      <c r="F18" s="51" t="s">
        <v>81</v>
      </c>
      <c r="G18" s="252">
        <v>2.5000000000000001E-2</v>
      </c>
      <c r="H18" s="20"/>
      <c r="I18" s="54">
        <f>G18*I7</f>
        <v>95.098390199999997</v>
      </c>
      <c r="K18" s="13" t="s">
        <v>102</v>
      </c>
      <c r="L18" s="4" t="s">
        <v>103</v>
      </c>
      <c r="M18" s="82">
        <v>5</v>
      </c>
      <c r="O18" s="37"/>
      <c r="P18" s="44">
        <v>0</v>
      </c>
      <c r="Q18" s="37">
        <v>0</v>
      </c>
      <c r="R18" s="37">
        <v>0</v>
      </c>
      <c r="S18" s="105">
        <f t="shared" si="7"/>
        <v>0</v>
      </c>
    </row>
    <row r="19" spans="1:19" ht="15.95" customHeight="1">
      <c r="A19" s="16"/>
      <c r="B19" s="20"/>
      <c r="C19" s="20" t="s">
        <v>23</v>
      </c>
      <c r="D19" s="20"/>
      <c r="E19" s="20"/>
      <c r="F19" s="51"/>
      <c r="G19" s="20"/>
      <c r="H19" s="20"/>
      <c r="I19" s="54">
        <f>(S19+M23*12)/M12</f>
        <v>139.0275</v>
      </c>
      <c r="K19" s="13" t="s">
        <v>78</v>
      </c>
      <c r="L19" s="4" t="s">
        <v>70</v>
      </c>
      <c r="M19" s="100">
        <v>1400</v>
      </c>
      <c r="O19" s="32"/>
      <c r="P19" s="32"/>
      <c r="Q19" s="32"/>
      <c r="R19" s="104" t="s">
        <v>196</v>
      </c>
      <c r="S19" s="47">
        <f>SUM(S13:S18)</f>
        <v>6651.375</v>
      </c>
    </row>
    <row r="20" spans="1:19" ht="15.95" customHeight="1">
      <c r="A20" s="16"/>
      <c r="B20" s="120" t="s">
        <v>15</v>
      </c>
      <c r="C20" s="20" t="s">
        <v>13</v>
      </c>
      <c r="D20" s="20"/>
      <c r="E20" s="20"/>
      <c r="F20" s="51" t="s">
        <v>100</v>
      </c>
      <c r="G20" s="31">
        <v>0.02</v>
      </c>
      <c r="H20" s="20"/>
      <c r="I20" s="54">
        <f>G20*((N31+L29*P29)/2)</f>
        <v>15.5</v>
      </c>
      <c r="K20" s="13" t="s">
        <v>67</v>
      </c>
      <c r="L20" s="4" t="s">
        <v>74</v>
      </c>
      <c r="M20" s="101">
        <v>5000</v>
      </c>
      <c r="R20" s="70"/>
    </row>
    <row r="21" spans="1:19" ht="15.95" customHeight="1">
      <c r="A21" s="16"/>
      <c r="B21" s="20"/>
      <c r="C21" s="20" t="s">
        <v>18</v>
      </c>
      <c r="D21" s="20"/>
      <c r="E21" s="20"/>
      <c r="F21" s="60"/>
      <c r="G21" s="61"/>
      <c r="H21" s="61"/>
      <c r="I21" s="54">
        <f>M21*M22/M12+M20/M18/M17/M22</f>
        <v>64.033333333333331</v>
      </c>
      <c r="K21" s="13" t="s">
        <v>105</v>
      </c>
      <c r="L21" s="4" t="s">
        <v>75</v>
      </c>
      <c r="M21" s="101">
        <v>45</v>
      </c>
      <c r="R21" s="70"/>
    </row>
    <row r="22" spans="1:19" ht="15.95" customHeight="1">
      <c r="A22" s="23"/>
      <c r="B22" s="20"/>
      <c r="C22" s="20" t="s">
        <v>2</v>
      </c>
      <c r="D22" s="20"/>
      <c r="E22" s="20"/>
      <c r="F22" s="51"/>
      <c r="G22" s="20"/>
      <c r="H22" s="61"/>
      <c r="I22" s="53">
        <v>10</v>
      </c>
      <c r="K22" s="13" t="s">
        <v>104</v>
      </c>
      <c r="L22" s="4" t="s">
        <v>123</v>
      </c>
      <c r="M22" s="100">
        <v>48</v>
      </c>
      <c r="R22" s="70"/>
    </row>
    <row r="23" spans="1:19" ht="15.95" customHeight="1">
      <c r="A23" s="23"/>
      <c r="B23" s="20"/>
      <c r="C23" s="20" t="s">
        <v>4</v>
      </c>
      <c r="D23" s="20"/>
      <c r="E23" s="20"/>
      <c r="F23" s="51"/>
      <c r="G23" s="20"/>
      <c r="H23" s="20"/>
      <c r="I23" s="53">
        <v>10</v>
      </c>
      <c r="K23" s="32" t="s">
        <v>35</v>
      </c>
      <c r="L23" s="89" t="s">
        <v>99</v>
      </c>
      <c r="M23" s="87">
        <v>25</v>
      </c>
      <c r="R23" s="70"/>
    </row>
    <row r="24" spans="1:19" ht="15.95" customHeight="1">
      <c r="A24" s="16"/>
      <c r="B24" s="20"/>
      <c r="C24" s="20" t="str">
        <f>"Operating interest"</f>
        <v>Operating interest</v>
      </c>
      <c r="D24" s="20"/>
      <c r="E24" s="20"/>
      <c r="F24" s="51"/>
      <c r="G24" s="20"/>
      <c r="H24" s="20"/>
      <c r="I24" s="29">
        <f>(SUM(I10:I23)-I18)*Inputs!$F27</f>
        <v>255.22765454727346</v>
      </c>
    </row>
    <row r="25" spans="1:19" ht="15.95" customHeight="1">
      <c r="A25" s="16"/>
      <c r="B25" s="20"/>
      <c r="C25" s="2"/>
      <c r="D25" s="2"/>
      <c r="E25" s="2"/>
      <c r="F25" s="62"/>
      <c r="G25" s="2"/>
      <c r="H25" s="55" t="s">
        <v>28</v>
      </c>
      <c r="I25" s="63">
        <f>SUM(I10:I24)</f>
        <v>3870.7074867786314</v>
      </c>
      <c r="K25" s="106" t="s">
        <v>91</v>
      </c>
      <c r="L25" s="106"/>
      <c r="M25" s="106"/>
      <c r="N25" s="106"/>
      <c r="O25" s="106"/>
      <c r="P25" s="156"/>
      <c r="Q25" s="156"/>
      <c r="R25" s="106"/>
    </row>
    <row r="26" spans="1:19" ht="15.95" customHeight="1">
      <c r="A26" s="16"/>
      <c r="B26" s="2"/>
      <c r="C26" s="2"/>
      <c r="D26" s="2"/>
      <c r="E26" s="2"/>
      <c r="F26" s="62"/>
      <c r="G26" s="2"/>
      <c r="H26" s="2"/>
      <c r="I26" s="64"/>
      <c r="K26" s="290" t="s">
        <v>190</v>
      </c>
      <c r="L26" s="290" t="s">
        <v>94</v>
      </c>
      <c r="M26" s="290" t="s">
        <v>176</v>
      </c>
      <c r="N26" s="290" t="s">
        <v>170</v>
      </c>
      <c r="O26" s="290" t="s">
        <v>96</v>
      </c>
      <c r="P26" s="295" t="s">
        <v>6</v>
      </c>
      <c r="Q26" s="290" t="s">
        <v>86</v>
      </c>
      <c r="R26" s="290" t="s">
        <v>201</v>
      </c>
    </row>
    <row r="27" spans="1:19" ht="15.95" customHeight="1">
      <c r="A27" s="16"/>
      <c r="B27" s="18" t="s">
        <v>27</v>
      </c>
      <c r="C27" s="17"/>
      <c r="D27" s="17"/>
      <c r="E27" s="17"/>
      <c r="F27" s="18" t="s">
        <v>38</v>
      </c>
      <c r="G27" s="18" t="s">
        <v>47</v>
      </c>
      <c r="H27" s="18" t="s">
        <v>48</v>
      </c>
      <c r="I27" s="172" t="s">
        <v>203</v>
      </c>
      <c r="K27" s="274"/>
      <c r="L27" s="274"/>
      <c r="M27" s="274"/>
      <c r="N27" s="274"/>
      <c r="O27" s="274"/>
      <c r="P27" s="276"/>
      <c r="Q27" s="274"/>
      <c r="R27" s="274"/>
    </row>
    <row r="28" spans="1:19" ht="15.95" customHeight="1">
      <c r="A28" s="16"/>
      <c r="B28" s="69"/>
      <c r="C28" s="20" t="s">
        <v>56</v>
      </c>
      <c r="D28" s="20"/>
      <c r="E28" s="20"/>
      <c r="F28" s="51" t="s">
        <v>57</v>
      </c>
      <c r="G28" s="31">
        <v>0.01</v>
      </c>
      <c r="H28" s="2"/>
      <c r="I28" s="54">
        <f>G28*I7</f>
        <v>38.039356079999997</v>
      </c>
      <c r="K28" s="13" t="s">
        <v>92</v>
      </c>
      <c r="L28" s="44">
        <v>12500</v>
      </c>
      <c r="M28" s="45">
        <v>0.8</v>
      </c>
      <c r="N28" s="27">
        <f>L28*M28/$M$12</f>
        <v>200</v>
      </c>
      <c r="O28" s="37">
        <v>30</v>
      </c>
      <c r="P28" s="45">
        <v>0.25</v>
      </c>
      <c r="Q28" s="27">
        <f>(L28-(P28*L28))/O28+(L28+L28*P28)/2*(Inputs!$F$28)*M28</f>
        <v>750</v>
      </c>
      <c r="R28" s="27">
        <f>Q28/$M$12</f>
        <v>15</v>
      </c>
    </row>
    <row r="29" spans="1:19" ht="15.95" customHeight="1">
      <c r="A29" s="16"/>
      <c r="B29" s="126" t="s">
        <v>16</v>
      </c>
      <c r="C29" s="20" t="s">
        <v>21</v>
      </c>
      <c r="D29" s="20"/>
      <c r="E29" s="20"/>
      <c r="F29" s="51"/>
      <c r="G29" s="20"/>
      <c r="H29" s="20"/>
      <c r="I29" s="65">
        <f>R44</f>
        <v>10</v>
      </c>
      <c r="K29" s="13" t="s">
        <v>93</v>
      </c>
      <c r="L29" s="44">
        <v>5000</v>
      </c>
      <c r="M29" s="45">
        <v>1</v>
      </c>
      <c r="N29" s="27">
        <f>L29*M29/$M$12</f>
        <v>100</v>
      </c>
      <c r="O29" s="37">
        <v>20</v>
      </c>
      <c r="P29" s="45">
        <v>0.25</v>
      </c>
      <c r="Q29" s="27">
        <f>(L29-(P29*L29))/O29+(L29+L29*P29)/2*(Inputs!$F$28)*M29</f>
        <v>406.25</v>
      </c>
      <c r="R29" s="27">
        <f>Q29/$M$12</f>
        <v>8.125</v>
      </c>
    </row>
    <row r="30" spans="1:19" ht="15.95" customHeight="1">
      <c r="A30" s="16"/>
      <c r="B30" s="126"/>
      <c r="C30" s="20" t="s">
        <v>20</v>
      </c>
      <c r="D30" s="20"/>
      <c r="E30" s="20"/>
      <c r="F30" s="51"/>
      <c r="G30" s="20"/>
      <c r="H30" s="20"/>
      <c r="I30" s="65">
        <f>R48</f>
        <v>23.125</v>
      </c>
      <c r="K30" s="113"/>
      <c r="L30" s="41"/>
      <c r="M30" s="45"/>
      <c r="N30" s="43">
        <f>L30*M30/$M$12</f>
        <v>0</v>
      </c>
      <c r="O30" s="241">
        <v>1E-3</v>
      </c>
      <c r="P30" s="37"/>
      <c r="Q30" s="43">
        <f>IFERROR((L30-(P30*L30))/O30+(L30+L30*P30)/2*(Inputs!$F$28)*M30,0)</f>
        <v>0</v>
      </c>
      <c r="R30" s="43">
        <f>Q30/$M$12</f>
        <v>0</v>
      </c>
    </row>
    <row r="31" spans="1:19" ht="15.95" customHeight="1">
      <c r="A31" s="16"/>
      <c r="B31" s="20"/>
      <c r="C31" s="20" t="s">
        <v>54</v>
      </c>
      <c r="D31" s="20"/>
      <c r="E31" s="20"/>
      <c r="F31" s="51"/>
      <c r="G31" s="20"/>
      <c r="H31" s="20"/>
      <c r="I31" s="30">
        <f>N31*(Inputs!F29+Inputs!F30)+(M20/M12*M17+'Replacement heifer'!I10)*Inputs!F31</f>
        <v>30.276999999999997</v>
      </c>
      <c r="K31" s="168" t="s">
        <v>1</v>
      </c>
      <c r="L31" s="171">
        <f>SUM(L28:L30)</f>
        <v>17500</v>
      </c>
      <c r="M31" s="111"/>
      <c r="N31" s="171">
        <f>SUM(N28:N30)</f>
        <v>300</v>
      </c>
      <c r="O31" s="110"/>
      <c r="P31" s="110"/>
      <c r="Q31" s="171">
        <f>SUM(Q28:Q30)</f>
        <v>1156.25</v>
      </c>
      <c r="R31" s="171">
        <f>SUM(R28:R30)</f>
        <v>23.125</v>
      </c>
    </row>
    <row r="32" spans="1:19" ht="15.95" customHeight="1">
      <c r="A32" s="21"/>
      <c r="B32" s="20"/>
      <c r="C32" s="20"/>
      <c r="D32" s="20"/>
      <c r="E32" s="20"/>
      <c r="F32" s="20"/>
      <c r="G32" s="20"/>
      <c r="H32" s="55" t="s">
        <v>29</v>
      </c>
      <c r="I32" s="56">
        <f>SUM(I28:I31)</f>
        <v>101.44135608000001</v>
      </c>
    </row>
    <row r="33" spans="1:18" ht="15.95" customHeight="1">
      <c r="A33" s="16"/>
      <c r="B33" s="20"/>
      <c r="C33" s="20"/>
      <c r="D33" s="20"/>
      <c r="E33" s="20"/>
      <c r="F33" s="20"/>
      <c r="G33" s="20"/>
      <c r="H33" s="20"/>
      <c r="I33" s="66"/>
    </row>
    <row r="34" spans="1:18" ht="15.95" customHeight="1">
      <c r="A34" s="16"/>
      <c r="B34" s="69"/>
      <c r="C34" s="20"/>
      <c r="D34" s="20"/>
      <c r="E34" s="20"/>
      <c r="F34" s="20"/>
      <c r="G34" s="20"/>
      <c r="H34" s="67" t="s">
        <v>318</v>
      </c>
      <c r="I34" s="63">
        <f>I35-SUM(I30,I29,I28,I16,I24)+((I35-SUM(I30,I29,I28,I16,I24,I31))*Inputs!F27/2)</f>
        <v>3662.8304761497443</v>
      </c>
      <c r="J34" s="63"/>
    </row>
    <row r="35" spans="1:18" ht="15.95" customHeight="1">
      <c r="A35" s="16"/>
      <c r="B35" s="14"/>
      <c r="C35" s="14"/>
      <c r="D35" s="14"/>
      <c r="E35" s="14"/>
      <c r="F35" s="14"/>
      <c r="G35" s="14"/>
      <c r="H35" s="215" t="s">
        <v>30</v>
      </c>
      <c r="I35" s="216">
        <f>I25+I32</f>
        <v>3972.1488428586313</v>
      </c>
    </row>
    <row r="36" spans="1:18" ht="15.95" customHeight="1">
      <c r="A36" s="16"/>
      <c r="B36" s="208" t="s">
        <v>264</v>
      </c>
      <c r="C36" s="127"/>
      <c r="D36" s="127"/>
      <c r="E36" s="127"/>
      <c r="F36" s="127"/>
      <c r="G36" s="127"/>
      <c r="H36" s="127"/>
      <c r="I36" s="209">
        <f>I7-I34</f>
        <v>141.10513185025548</v>
      </c>
      <c r="J36" s="63"/>
    </row>
    <row r="37" spans="1:18" ht="15.95" customHeight="1">
      <c r="A37" s="16"/>
      <c r="B37" s="119" t="s">
        <v>191</v>
      </c>
      <c r="E37" s="69"/>
      <c r="F37" s="20"/>
      <c r="G37" s="20"/>
      <c r="H37" s="20"/>
      <c r="I37" s="56">
        <f>I7-I25</f>
        <v>-66.771878778631617</v>
      </c>
      <c r="J37" s="56"/>
      <c r="K37" s="50"/>
      <c r="L37" s="36"/>
      <c r="M37" s="36"/>
      <c r="N37" s="36"/>
    </row>
    <row r="38" spans="1:18" ht="15.95" customHeight="1">
      <c r="A38" s="16"/>
      <c r="B38" s="218" t="s">
        <v>192</v>
      </c>
      <c r="C38" s="32"/>
      <c r="D38" s="32"/>
      <c r="E38" s="128"/>
      <c r="F38" s="14"/>
      <c r="G38" s="14"/>
      <c r="H38" s="14"/>
      <c r="I38" s="129">
        <f>I7-I35</f>
        <v>-168.21323485863149</v>
      </c>
      <c r="J38" s="56"/>
      <c r="K38" s="36"/>
      <c r="L38" s="36"/>
      <c r="M38" s="36"/>
      <c r="N38" s="36"/>
    </row>
    <row r="39" spans="1:18" ht="15.95" customHeight="1">
      <c r="A39" s="16"/>
      <c r="B39" s="255" t="s">
        <v>355</v>
      </c>
      <c r="C39" s="245"/>
      <c r="D39" s="245"/>
      <c r="E39" s="18"/>
      <c r="F39" s="17"/>
      <c r="G39" s="17"/>
      <c r="H39" s="17"/>
      <c r="I39" s="246">
        <f>I34-I5-I4</f>
        <v>3323.8948681497445</v>
      </c>
      <c r="J39" s="56"/>
      <c r="K39" s="36"/>
      <c r="L39" s="36"/>
      <c r="M39" s="36"/>
      <c r="N39" s="36"/>
    </row>
    <row r="40" spans="1:18" ht="15.95" customHeight="1">
      <c r="A40" s="16"/>
      <c r="B40" s="20"/>
      <c r="C40" s="210" t="s">
        <v>319</v>
      </c>
      <c r="D40" s="20"/>
      <c r="E40" s="20"/>
      <c r="F40" s="20"/>
      <c r="G40" s="20"/>
      <c r="H40" s="24"/>
      <c r="K40" s="36"/>
      <c r="L40" s="36"/>
      <c r="M40" s="36"/>
    </row>
    <row r="41" spans="1:18" ht="15.95" customHeight="1">
      <c r="A41" s="16"/>
      <c r="B41" s="20"/>
      <c r="C41" s="210"/>
      <c r="D41" s="20"/>
      <c r="E41" s="20"/>
      <c r="F41" s="20"/>
      <c r="G41" s="20"/>
      <c r="H41" s="24"/>
      <c r="K41" s="36"/>
      <c r="L41" s="36"/>
      <c r="M41" s="36"/>
    </row>
    <row r="42" spans="1:18" ht="15.95" customHeight="1">
      <c r="A42" s="16"/>
      <c r="B42" s="157" t="s">
        <v>324</v>
      </c>
      <c r="C42" s="173"/>
      <c r="D42" s="158"/>
      <c r="E42" s="158"/>
      <c r="F42" s="158"/>
      <c r="G42" s="158"/>
      <c r="H42" s="159"/>
      <c r="I42" s="158"/>
      <c r="J42" s="107"/>
      <c r="R42" s="217" t="s">
        <v>107</v>
      </c>
    </row>
    <row r="43" spans="1:18" ht="15.95" customHeight="1">
      <c r="A43" s="16"/>
      <c r="B43" s="160"/>
      <c r="C43" s="298" t="s">
        <v>126</v>
      </c>
      <c r="D43" s="298"/>
      <c r="E43" s="298"/>
      <c r="F43" s="298"/>
      <c r="G43" s="298"/>
      <c r="H43" s="298"/>
      <c r="I43" s="298"/>
      <c r="J43" s="298"/>
      <c r="R43" s="222"/>
    </row>
    <row r="44" spans="1:18" ht="15" customHeight="1">
      <c r="A44" s="16"/>
      <c r="B44" s="291"/>
      <c r="C44" s="299" t="s">
        <v>204</v>
      </c>
      <c r="D44" s="161"/>
      <c r="E44" s="175">
        <f>H44*0.85</f>
        <v>0.74375000000000002</v>
      </c>
      <c r="F44" s="175">
        <f>H44*0.9</f>
        <v>0.78749999999999998</v>
      </c>
      <c r="G44" s="175">
        <f>H44*0.95</f>
        <v>0.83124999999999993</v>
      </c>
      <c r="H44" s="176">
        <f>G3</f>
        <v>0.875</v>
      </c>
      <c r="I44" s="175">
        <f>MIN(H44*1.05,1)</f>
        <v>0.91875000000000007</v>
      </c>
      <c r="J44" s="175">
        <f>MIN(H44*1.1,1)</f>
        <v>0.96250000000000013</v>
      </c>
      <c r="R44" s="217">
        <f>((L28-(P28*L28))/O28+(L29-(P29*L29))/O29+(L30-(P30*L30))/O30)/M12</f>
        <v>10</v>
      </c>
    </row>
    <row r="45" spans="1:18" ht="17.25">
      <c r="B45" s="291"/>
      <c r="C45" s="299"/>
      <c r="D45" s="78">
        <f>D48*0.7</f>
        <v>2800</v>
      </c>
      <c r="E45" s="73">
        <f>($D45*E$44*(1-$M$14)+$I$4+$M$13*$G$5*$H$5*(1-$M$14))-($I$34-$I$18-($I$34-$I$18-$I$24-$I$31+$G$18*($D45*E$44*(1-$M$14)+$I$4+$M$13*$G$5*$H$5*(1-$M$14)))*(Inputs!$F$27/2)+$G$18*($D45*E$44*(1-$M$14)+$I$4+$M$13*$G$5*$H$5*(1-$M$14))+($I$34-$I$18-$I$24-$I$31+$G$18*($D45*E$44*(1-$M$14)+$I$4+$M$13*$G$5*$H$5*(1-$M$14)))*(Inputs!$F$27/2))</f>
        <v>-1227.1367431497447</v>
      </c>
      <c r="F45" s="73">
        <f>($D45*F$44*(1-$M$14)+$I$4+$M$13*$G$5*$H$5*(1-$M$14))-($I$34-$I$18-($I$34-$I$18-$I$24-$I$31+$G$18*($D45*F$44*(1-$M$14)+$I$4+$M$13*$G$5*$H$5*(1-$M$14)))*(Inputs!$F$27/2)+$G$18*($D45*F$44*(1-$M$14)+$I$4+$M$13*$G$5*$H$5*(1-$M$14))+($I$34-$I$18-$I$24-$I$31+$G$18*($D45*F$44*(1-$M$14)+$I$4+$M$13*$G$5*$H$5*(1-$M$14)))*(Inputs!$F$27/2))</f>
        <v>-1108.8936181497447</v>
      </c>
      <c r="G45" s="73">
        <f>($D45*G$44*(1-$M$14)+$I$4+$M$13*$G$5*$H$5*(1-$M$14))-($I$34-$I$18-($I$34-$I$18-$I$24-$I$31+$G$18*($D45*G$44*(1-$M$14)+$I$4+$M$13*$G$5*$H$5*(1-$M$14)))*(Inputs!$F$27/2)+$G$18*($D45*G$44*(1-$M$14)+$I$4+$M$13*$G$5*$H$5*(1-$M$14))+($I$34-$I$18-$I$24-$I$31+$G$18*($D45*G$44*(1-$M$14)+$I$4+$M$13*$G$5*$H$5*(1-$M$14)))*(Inputs!$F$27/2))</f>
        <v>-990.65049314974476</v>
      </c>
      <c r="H45" s="73">
        <f>($D45*H$44*(1-$M$14)+$I$4+$M$13*$G$5*$H$5*(1-$M$14))-($I$34-$I$18-($I$34-$I$18-$I$24-$I$31+$G$18*($D45*H$44*(1-$M$14)+$I$4+$M$13*$G$5*$H$5*(1-$M$14)))*(Inputs!$F$27/2)+$G$18*($D45*H$44*(1-$M$14)+$I$4+$M$13*$G$5*$H$5*(1-$M$14))+($I$34-$I$18-$I$24-$I$31+$G$18*($D45*H$44*(1-$M$14)+$I$4+$M$13*$G$5*$H$5*(1-$M$14)))*(Inputs!$F$27/2))</f>
        <v>-872.4073681497448</v>
      </c>
      <c r="I45" s="174">
        <f>($D45*I$44*(1-$M$14)+$I$4+$M$13*$G$5*$H$5*(1-$M$14))-($I$34-$I$18-($I$34-$I$18-$I$24-$I$31+$G$18*($D45*I$44*(1-$M$14)+$I$4+$M$13*$G$5*$H$5*(1-$M$14)))*(Inputs!$F$27/2)+$G$18*($D45*I$44*(1-$M$14)+$I$4+$M$13*$G$5*$H$5*(1-$M$14))+($I$34-$I$18-$I$24-$I$31+$G$18*($D45*I$44*(1-$M$14)+$I$4+$M$13*$G$5*$H$5*(1-$M$14)))*(Inputs!$F$27/2))</f>
        <v>-754.16424314974483</v>
      </c>
      <c r="J45" s="73">
        <f>($D45*J$44*(1-$M$14)+$I$4+$M$13*$G$5*$H$5*(1-$M$14))-($I$34-$I$18-($I$34-$I$18-$I$24-$I$31+$G$18*($D45*J$44*(1-$M$14)+$I$4+$M$13*$G$5*$H$5*(1-$M$14)))*(Inputs!$F$27/2)+$G$18*($D45*J$44*(1-$M$14)+$I$4+$M$13*$G$5*$H$5*(1-$M$14))+($I$34-$I$18-$I$24-$I$31+$G$18*($D45*J$44*(1-$M$14)+$I$4+$M$13*$G$5*$H$5*(1-$M$14)))*(Inputs!$F$27/2))</f>
        <v>-635.92111814974396</v>
      </c>
      <c r="M45" s="36"/>
      <c r="N45" s="36"/>
      <c r="R45" s="217"/>
    </row>
    <row r="46" spans="1:18" ht="17.25">
      <c r="B46" s="291"/>
      <c r="C46" s="299"/>
      <c r="D46" s="78">
        <f>D48*0.8</f>
        <v>3200</v>
      </c>
      <c r="E46" s="73">
        <f>($D46*E$44*(1-$M$14)+$I$4+$M$13*$G$5*$H$5*(1-$M$14))-($I$34-$I$18-($I$34-$I$18-$I$24-$I$31+$G$18*($D46*E$44*(1-$M$14)+$I$4+$M$13*$G$5*$H$5*(1-$M$14)))*(Inputs!$F$27/2)+$G$18*($D46*E$44*(1-$M$14)+$I$4+$M$13*$G$5*$H$5*(1-$M$14))+($I$34-$I$18-$I$24-$I$31+$G$18*($D46*E$44*(1-$M$14)+$I$4+$M$13*$G$5*$H$5*(1-$M$14)))*(Inputs!$F$27/2))</f>
        <v>-939.97486814974491</v>
      </c>
      <c r="F46" s="73">
        <f>($D46*F$44*(1-$M$14)+$I$4+$M$13*$G$5*$H$5*(1-$M$14))-($I$34-$I$18-($I$34-$I$18-$I$24-$I$31+$G$18*($D46*F$44*(1-$M$14)+$I$4+$M$13*$G$5*$H$5*(1-$M$14)))*(Inputs!$F$27/2)+$G$18*($D46*F$44*(1-$M$14)+$I$4+$M$13*$G$5*$H$5*(1-$M$14))+($I$34-$I$18-$I$24-$I$31+$G$18*($D46*F$44*(1-$M$14)+$I$4+$M$13*$G$5*$H$5*(1-$M$14)))*(Inputs!$F$27/2))</f>
        <v>-804.83986814974469</v>
      </c>
      <c r="G46" s="73">
        <f>($D46*G$44*(1-$M$14)+$I$4+$M$13*$G$5*$H$5*(1-$M$14))-($I$34-$I$18-($I$34-$I$18-$I$24-$I$31+$G$18*($D46*G$44*(1-$M$14)+$I$4+$M$13*$G$5*$H$5*(1-$M$14)))*(Inputs!$F$27/2)+$G$18*($D46*G$44*(1-$M$14)+$I$4+$M$13*$G$5*$H$5*(1-$M$14))+($I$34-$I$18-$I$24-$I$31+$G$18*($D46*G$44*(1-$M$14)+$I$4+$M$13*$G$5*$H$5*(1-$M$14)))*(Inputs!$F$27/2))</f>
        <v>-669.70486814974447</v>
      </c>
      <c r="H46" s="73">
        <f>($D46*H$44*(1-$M$14)+$I$4+$M$13*$G$5*$H$5*(1-$M$14))-($I$34-$I$18-($I$34-$I$18-$I$24-$I$31+$G$18*($D46*H$44*(1-$M$14)+$I$4+$M$13*$G$5*$H$5*(1-$M$14)))*(Inputs!$F$27/2)+$G$18*($D46*H$44*(1-$M$14)+$I$4+$M$13*$G$5*$H$5*(1-$M$14))+($I$34-$I$18-$I$24-$I$31+$G$18*($D46*H$44*(1-$M$14)+$I$4+$M$13*$G$5*$H$5*(1-$M$14)))*(Inputs!$F$27/2))</f>
        <v>-534.56986814974471</v>
      </c>
      <c r="I46" s="174">
        <f>($D46*I$44*(1-$M$14)+$I$4+$M$13*$G$5*$H$5*(1-$M$14))-($I$34-$I$18-($I$34-$I$18-$I$24-$I$31+$G$18*($D46*I$44*(1-$M$14)+$I$4+$M$13*$G$5*$H$5*(1-$M$14)))*(Inputs!$F$27/2)+$G$18*($D46*I$44*(1-$M$14)+$I$4+$M$13*$G$5*$H$5*(1-$M$14))+($I$34-$I$18-$I$24-$I$31+$G$18*($D46*I$44*(1-$M$14)+$I$4+$M$13*$G$5*$H$5*(1-$M$14)))*(Inputs!$F$27/2))</f>
        <v>-399.43486814974494</v>
      </c>
      <c r="J46" s="73">
        <f>($D46*J$44*(1-$M$14)+$I$4+$M$13*$G$5*$H$5*(1-$M$14))-($I$34-$I$18-($I$34-$I$18-$I$24-$I$31+$G$18*($D46*J$44*(1-$M$14)+$I$4+$M$13*$G$5*$H$5*(1-$M$14)))*(Inputs!$F$27/2)+$G$18*($D46*J$44*(1-$M$14)+$I$4+$M$13*$G$5*$H$5*(1-$M$14))+($I$34-$I$18-$I$24-$I$31+$G$18*($D46*J$44*(1-$M$14)+$I$4+$M$13*$G$5*$H$5*(1-$M$14)))*(Inputs!$F$27/2))</f>
        <v>-264.29986814974427</v>
      </c>
      <c r="R46" s="217"/>
    </row>
    <row r="47" spans="1:18" ht="17.25">
      <c r="B47" s="291"/>
      <c r="C47" s="299"/>
      <c r="D47" s="78">
        <f>D48*0.9</f>
        <v>3600</v>
      </c>
      <c r="E47" s="73">
        <f>($D47*E$44*(1-$M$14)+$I$4+$M$13*$G$5*$H$5*(1-$M$14))-($I$34-$I$18-($I$34-$I$18-$I$24-$I$31+$G$18*($D47*E$44*(1-$M$14)+$I$4+$M$13*$G$5*$H$5*(1-$M$14)))*(Inputs!$F$27/2)+$G$18*($D47*E$44*(1-$M$14)+$I$4+$M$13*$G$5*$H$5*(1-$M$14))+($I$34-$I$18-$I$24-$I$31+$G$18*($D47*E$44*(1-$M$14)+$I$4+$M$13*$G$5*$H$5*(1-$M$14)))*(Inputs!$F$27/2))</f>
        <v>-652.81299314974467</v>
      </c>
      <c r="F47" s="73">
        <f>($D47*F$44*(1-$M$14)+$I$4+$M$13*$G$5*$H$5*(1-$M$14))-($I$34-$I$18-($I$34-$I$18-$I$24-$I$31+$G$18*($D47*F$44*(1-$M$14)+$I$4+$M$13*$G$5*$H$5*(1-$M$14)))*(Inputs!$F$27/2)+$G$18*($D47*F$44*(1-$M$14)+$I$4+$M$13*$G$5*$H$5*(1-$M$14))+($I$34-$I$18-$I$24-$I$31+$G$18*($D47*F$44*(1-$M$14)+$I$4+$M$13*$G$5*$H$5*(1-$M$14)))*(Inputs!$F$27/2))</f>
        <v>-500.78611814974465</v>
      </c>
      <c r="G47" s="73">
        <f>($D47*G$44*(1-$M$14)+$I$4+$M$13*$G$5*$H$5*(1-$M$14))-($I$34-$I$18-($I$34-$I$18-$I$24-$I$31+$G$18*($D47*G$44*(1-$M$14)+$I$4+$M$13*$G$5*$H$5*(1-$M$14)))*(Inputs!$F$27/2)+$G$18*($D47*G$44*(1-$M$14)+$I$4+$M$13*$G$5*$H$5*(1-$M$14))+($I$34-$I$18-$I$24-$I$31+$G$18*($D47*G$44*(1-$M$14)+$I$4+$M$13*$G$5*$H$5*(1-$M$14)))*(Inputs!$F$27/2))</f>
        <v>-348.75924314974554</v>
      </c>
      <c r="H47" s="73">
        <f>($D47*H$44*(1-$M$14)+$I$4+$M$13*$G$5*$H$5*(1-$M$14))-($I$34-$I$18-($I$34-$I$18-$I$24-$I$31+$G$18*($D47*H$44*(1-$M$14)+$I$4+$M$13*$G$5*$H$5*(1-$M$14)))*(Inputs!$F$27/2)+$G$18*($D47*H$44*(1-$M$14)+$I$4+$M$13*$G$5*$H$5*(1-$M$14))+($I$34-$I$18-$I$24-$I$31+$G$18*($D47*H$44*(1-$M$14)+$I$4+$M$13*$G$5*$H$5*(1-$M$14)))*(Inputs!$F$27/2))</f>
        <v>-196.73236814974462</v>
      </c>
      <c r="I47" s="174">
        <f>($D47*I$44*(1-$M$14)+$I$4+$M$13*$G$5*$H$5*(1-$M$14))-($I$34-$I$18-($I$34-$I$18-$I$24-$I$31+$G$18*($D47*I$44*(1-$M$14)+$I$4+$M$13*$G$5*$H$5*(1-$M$14)))*(Inputs!$F$27/2)+$G$18*($D47*I$44*(1-$M$14)+$I$4+$M$13*$G$5*$H$5*(1-$M$14))+($I$34-$I$18-$I$24-$I$31+$G$18*($D47*I$44*(1-$M$14)+$I$4+$M$13*$G$5*$H$5*(1-$M$14)))*(Inputs!$F$27/2))</f>
        <v>-44.705493149744143</v>
      </c>
      <c r="J47" s="73">
        <f>($D47*J$44*(1-$M$14)+$I$4+$M$13*$G$5*$H$5*(1-$M$14))-($I$34-$I$18-($I$34-$I$18-$I$24-$I$31+$G$18*($D47*J$44*(1-$M$14)+$I$4+$M$13*$G$5*$H$5*(1-$M$14)))*(Inputs!$F$27/2)+$G$18*($D47*J$44*(1-$M$14)+$I$4+$M$13*$G$5*$H$5*(1-$M$14))+($I$34-$I$18-$I$24-$I$31+$G$18*($D47*J$44*(1-$M$14)+$I$4+$M$13*$G$5*$H$5*(1-$M$14)))*(Inputs!$F$27/2))</f>
        <v>107.32138185025588</v>
      </c>
      <c r="R47" s="217" t="s">
        <v>108</v>
      </c>
    </row>
    <row r="48" spans="1:18" ht="17.25">
      <c r="B48" s="291"/>
      <c r="C48" s="299"/>
      <c r="D48" s="79">
        <f>H3</f>
        <v>4000</v>
      </c>
      <c r="E48" s="73">
        <f>($D48*E$44*(1-$M$14)+$I$4+$M$13*$G$5*$H$5*(1-$M$14))-($I$34-$I$18-($I$34-$I$18-$I$24-$I$31+$G$18*($D48*E$44*(1-$M$14)+$I$4+$M$13*$G$5*$H$5*(1-$M$14)))*(Inputs!$F$27/2)+$G$18*($D48*E$44*(1-$M$14)+$I$4+$M$13*$G$5*$H$5*(1-$M$14))+($I$34-$I$18-$I$24-$I$31+$G$18*($D48*E$44*(1-$M$14)+$I$4+$M$13*$G$5*$H$5*(1-$M$14)))*(Inputs!$F$27/2))</f>
        <v>-365.65111814974489</v>
      </c>
      <c r="F48" s="73">
        <f>($D48*F$44*(1-$M$14)+$I$4+$M$13*$G$5*$H$5*(1-$M$14))-($I$34-$I$18-($I$34-$I$18-$I$24-$I$31+$G$18*($D48*F$44*(1-$M$14)+$I$4+$M$13*$G$5*$H$5*(1-$M$14)))*(Inputs!$F$27/2)+$G$18*($D48*F$44*(1-$M$14)+$I$4+$M$13*$G$5*$H$5*(1-$M$14))+($I$34-$I$18-$I$24-$I$31+$G$18*($D48*F$44*(1-$M$14)+$I$4+$M$13*$G$5*$H$5*(1-$M$14)))*(Inputs!$F$27/2))</f>
        <v>-196.73236814974462</v>
      </c>
      <c r="G48" s="73">
        <f>($D48*G$44*(1-$M$14)+$I$4+$M$13*$G$5*$H$5*(1-$M$14))-($I$34-$I$18-($I$34-$I$18-$I$24-$I$31+$G$18*($D48*G$44*(1-$M$14)+$I$4+$M$13*$G$5*$H$5*(1-$M$14)))*(Inputs!$F$27/2)+$G$18*($D48*G$44*(1-$M$14)+$I$4+$M$13*$G$5*$H$5*(1-$M$14))+($I$34-$I$18-$I$24-$I$31+$G$18*($D48*G$44*(1-$M$14)+$I$4+$M$13*$G$5*$H$5*(1-$M$14)))*(Inputs!$F$27/2))</f>
        <v>-27.813618149745253</v>
      </c>
      <c r="H48" s="77">
        <f>($D48*H$44*(1-$M$14)+$I$4+$M$13*$G$5*$H$5*(1-$M$14))-($I$34-$I$18-($I$34-$I$18-$I$24-$I$31+$G$18*($D48*H$44*(1-$M$14)+$I$4+$M$13*$G$5*$H$5*(1-$M$14)))*(Inputs!$F$27/2)+$G$18*($D48*H$44*(1-$M$14)+$I$4+$M$13*$G$5*$H$5*(1-$M$14))+($I$34-$I$18-$I$24-$I$31+$G$18*($D48*H$44*(1-$M$14)+$I$4+$M$13*$G$5*$H$5*(1-$M$14)))*(Inputs!$F$27/2))</f>
        <v>141.10513185025548</v>
      </c>
      <c r="I48" s="174">
        <f>($D48*I$44*(1-$M$14)+$I$4+$M$13*$G$5*$H$5*(1-$M$14))-($I$34-$I$18-($I$34-$I$18-$I$24-$I$31+$G$18*($D48*I$44*(1-$M$14)+$I$4+$M$13*$G$5*$H$5*(1-$M$14)))*(Inputs!$F$27/2)+$G$18*($D48*I$44*(1-$M$14)+$I$4+$M$13*$G$5*$H$5*(1-$M$14))+($I$34-$I$18-$I$24-$I$31+$G$18*($D48*I$44*(1-$M$14)+$I$4+$M$13*$G$5*$H$5*(1-$M$14)))*(Inputs!$F$27/2))</f>
        <v>310.02388185025575</v>
      </c>
      <c r="J48" s="73">
        <f>($D48*J$44*(1-$M$14)+$I$4+$M$13*$G$5*$H$5*(1-$M$14))-($I$34-$I$18-($I$34-$I$18-$I$24-$I$31+$G$18*($D48*J$44*(1-$M$14)+$I$4+$M$13*$G$5*$H$5*(1-$M$14)))*(Inputs!$F$27/2)+$G$18*($D48*J$44*(1-$M$14)+$I$4+$M$13*$G$5*$H$5*(1-$M$14))+($I$34-$I$18-$I$24-$I$31+$G$18*($D48*J$44*(1-$M$14)+$I$4+$M$13*$G$5*$H$5*(1-$M$14)))*(Inputs!$F$27/2))</f>
        <v>478.94263185025602</v>
      </c>
      <c r="R48" s="222">
        <f>R31-R43</f>
        <v>23.125</v>
      </c>
    </row>
    <row r="49" spans="2:18" ht="17.25">
      <c r="B49" s="291"/>
      <c r="C49" s="299"/>
      <c r="D49" s="78">
        <f>D48*1.1</f>
        <v>4400</v>
      </c>
      <c r="E49" s="73">
        <f>($D49*E$44*(1-$M$14)+$I$4+$M$13*$G$5*$H$5*(1-$M$14))-($I$34-$I$18-($I$34-$I$18-$I$24-$I$31+$G$18*($D49*E$44*(1-$M$14)+$I$4+$M$13*$G$5*$H$5*(1-$M$14)))*(Inputs!$F$27/2)+$G$18*($D49*E$44*(1-$M$14)+$I$4+$M$13*$G$5*$H$5*(1-$M$14))+($I$34-$I$18-$I$24-$I$31+$G$18*($D49*E$44*(1-$M$14)+$I$4+$M$13*$G$5*$H$5*(1-$M$14)))*(Inputs!$F$27/2))</f>
        <v>-78.489243149744652</v>
      </c>
      <c r="F49" s="73">
        <f>($D49*F$44*(1-$M$14)+$I$4+$M$13*$G$5*$H$5*(1-$M$14))-($I$34-$I$18-($I$34-$I$18-$I$24-$I$31+$G$18*($D49*F$44*(1-$M$14)+$I$4+$M$13*$G$5*$H$5*(1-$M$14)))*(Inputs!$F$27/2)+$G$18*($D49*F$44*(1-$M$14)+$I$4+$M$13*$G$5*$H$5*(1-$M$14))+($I$34-$I$18-$I$24-$I$31+$G$18*($D49*F$44*(1-$M$14)+$I$4+$M$13*$G$5*$H$5*(1-$M$14)))*(Inputs!$F$27/2))</f>
        <v>107.32138185025542</v>
      </c>
      <c r="G49" s="73">
        <f>($D49*G$44*(1-$M$14)+$I$4+$M$13*$G$5*$H$5*(1-$M$14))-($I$34-$I$18-($I$34-$I$18-$I$24-$I$31+$G$18*($D49*G$44*(1-$M$14)+$I$4+$M$13*$G$5*$H$5*(1-$M$14)))*(Inputs!$F$27/2)+$G$18*($D49*G$44*(1-$M$14)+$I$4+$M$13*$G$5*$H$5*(1-$M$14))+($I$34-$I$18-$I$24-$I$31+$G$18*($D49*G$44*(1-$M$14)+$I$4+$M$13*$G$5*$H$5*(1-$M$14)))*(Inputs!$F$27/2))</f>
        <v>293.13200685025504</v>
      </c>
      <c r="H49" s="73">
        <f>($D49*H$44*(1-$M$14)+$I$4+$M$13*$G$5*$H$5*(1-$M$14))-($I$34-$I$18-($I$34-$I$18-$I$24-$I$31+$G$18*($D49*H$44*(1-$M$14)+$I$4+$M$13*$G$5*$H$5*(1-$M$14)))*(Inputs!$F$27/2)+$G$18*($D49*H$44*(1-$M$14)+$I$4+$M$13*$G$5*$H$5*(1-$M$14))+($I$34-$I$18-$I$24-$I$31+$G$18*($D49*H$44*(1-$M$14)+$I$4+$M$13*$G$5*$H$5*(1-$M$14)))*(Inputs!$F$27/2))</f>
        <v>478.94263185025511</v>
      </c>
      <c r="I49" s="174">
        <f>($D49*I$44*(1-$M$14)+$I$4+$M$13*$G$5*$H$5*(1-$M$14))-($I$34-$I$18-($I$34-$I$18-$I$24-$I$31+$G$18*($D49*I$44*(1-$M$14)+$I$4+$M$13*$G$5*$H$5*(1-$M$14)))*(Inputs!$F$27/2)+$G$18*($D49*I$44*(1-$M$14)+$I$4+$M$13*$G$5*$H$5*(1-$M$14))+($I$34-$I$18-$I$24-$I$31+$G$18*($D49*I$44*(1-$M$14)+$I$4+$M$13*$G$5*$H$5*(1-$M$14)))*(Inputs!$F$27/2))</f>
        <v>664.75325685025609</v>
      </c>
      <c r="J49" s="73">
        <f>($D49*J$44*(1-$M$14)+$I$4+$M$13*$G$5*$H$5*(1-$M$14))-($I$34-$I$18-($I$34-$I$18-$I$24-$I$31+$G$18*($D49*J$44*(1-$M$14)+$I$4+$M$13*$G$5*$H$5*(1-$M$14)))*(Inputs!$F$27/2)+$G$18*($D49*J$44*(1-$M$14)+$I$4+$M$13*$G$5*$H$5*(1-$M$14))+($I$34-$I$18-$I$24-$I$31+$G$18*($D49*J$44*(1-$M$14)+$I$4+$M$13*$G$5*$H$5*(1-$M$14)))*(Inputs!$F$27/2))</f>
        <v>850.56388185025571</v>
      </c>
      <c r="R49" s="217"/>
    </row>
    <row r="50" spans="2:18" ht="17.25">
      <c r="B50" s="291"/>
      <c r="C50" s="299"/>
      <c r="D50" s="78">
        <f>D48*1.2</f>
        <v>4800</v>
      </c>
      <c r="E50" s="73">
        <f>($D50*E$44*(1-$M$14)+$I$4+$M$13*$G$5*$H$5*(1-$M$14))-($I$34-$I$18-($I$34-$I$18-$I$24-$I$31+$G$18*($D50*E$44*(1-$M$14)+$I$4+$M$13*$G$5*$H$5*(1-$M$14)))*(Inputs!$F$27/2)+$G$18*($D50*E$44*(1-$M$14)+$I$4+$M$13*$G$5*$H$5*(1-$M$14))+($I$34-$I$18-$I$24-$I$31+$G$18*($D50*E$44*(1-$M$14)+$I$4+$M$13*$G$5*$H$5*(1-$M$14)))*(Inputs!$F$27/2))</f>
        <v>208.67263185025558</v>
      </c>
      <c r="F50" s="73">
        <f>($D50*F$44*(1-$M$14)+$I$4+$M$13*$G$5*$H$5*(1-$M$14))-($I$34-$I$18-($I$34-$I$18-$I$24-$I$31+$G$18*($D50*F$44*(1-$M$14)+$I$4+$M$13*$G$5*$H$5*(1-$M$14)))*(Inputs!$F$27/2)+$G$18*($D50*F$44*(1-$M$14)+$I$4+$M$13*$G$5*$H$5*(1-$M$14))+($I$34-$I$18-$I$24-$I$31+$G$18*($D50*F$44*(1-$M$14)+$I$4+$M$13*$G$5*$H$5*(1-$M$14)))*(Inputs!$F$27/2))</f>
        <v>411.375131850255</v>
      </c>
      <c r="G50" s="73">
        <f>($D50*G$44*(1-$M$14)+$I$4+$M$13*$G$5*$H$5*(1-$M$14))-($I$34-$I$18-($I$34-$I$18-$I$24-$I$31+$G$18*($D50*G$44*(1-$M$14)+$I$4+$M$13*$G$5*$H$5*(1-$M$14)))*(Inputs!$F$27/2)+$G$18*($D50*G$44*(1-$M$14)+$I$4+$M$13*$G$5*$H$5*(1-$M$14))+($I$34-$I$18-$I$24-$I$31+$G$18*($D50*G$44*(1-$M$14)+$I$4+$M$13*$G$5*$H$5*(1-$M$14)))*(Inputs!$F$27/2))</f>
        <v>614.07763185025487</v>
      </c>
      <c r="H50" s="73">
        <f>($D50*H$44*(1-$M$14)+$I$4+$M$13*$G$5*$H$5*(1-$M$14))-($I$34-$I$18-($I$34-$I$18-$I$24-$I$31+$G$18*($D50*H$44*(1-$M$14)+$I$4+$M$13*$G$5*$H$5*(1-$M$14)))*(Inputs!$F$27/2)+$G$18*($D50*H$44*(1-$M$14)+$I$4+$M$13*$G$5*$H$5*(1-$M$14))+($I$34-$I$18-$I$24-$I$31+$G$18*($D50*H$44*(1-$M$14)+$I$4+$M$13*$G$5*$H$5*(1-$M$14)))*(Inputs!$F$27/2))</f>
        <v>816.7801318502552</v>
      </c>
      <c r="I50" s="174">
        <f>($D50*I$44*(1-$M$14)+$I$4+$M$13*$G$5*$H$5*(1-$M$14))-($I$34-$I$18-($I$34-$I$18-$I$24-$I$31+$G$18*($D50*I$44*(1-$M$14)+$I$4+$M$13*$G$5*$H$5*(1-$M$14)))*(Inputs!$F$27/2)+$G$18*($D50*I$44*(1-$M$14)+$I$4+$M$13*$G$5*$H$5*(1-$M$14))+($I$34-$I$18-$I$24-$I$31+$G$18*($D50*I$44*(1-$M$14)+$I$4+$M$13*$G$5*$H$5*(1-$M$14)))*(Inputs!$F$27/2))</f>
        <v>1019.4826318502551</v>
      </c>
      <c r="J50" s="73">
        <f>($D50*J$44*(1-$M$14)+$I$4+$M$13*$G$5*$H$5*(1-$M$14))-($I$34-$I$18-($I$34-$I$18-$I$24-$I$31+$G$18*($D50*J$44*(1-$M$14)+$I$4+$M$13*$G$5*$H$5*(1-$M$14)))*(Inputs!$F$27/2)+$G$18*($D50*J$44*(1-$M$14)+$I$4+$M$13*$G$5*$H$5*(1-$M$14))+($I$34-$I$18-$I$24-$I$31+$G$18*($D50*J$44*(1-$M$14)+$I$4+$M$13*$G$5*$H$5*(1-$M$14)))*(Inputs!$F$27/2))</f>
        <v>1222.1851318502563</v>
      </c>
    </row>
    <row r="51" spans="2:18" ht="17.25">
      <c r="B51" s="292"/>
      <c r="C51" s="300"/>
      <c r="D51" s="163">
        <f>D48*1.3</f>
        <v>5200</v>
      </c>
      <c r="E51" s="73">
        <f>($D51*E$44*(1-$M$14)+$I$4+$M$13*$G$5*$H$5*(1-$M$14))-($I$34-$I$18-($I$34-$I$18-$I$24-$I$31+$G$18*($D51*E$44*(1-$M$14)+$I$4+$M$13*$G$5*$H$5*(1-$M$14)))*(Inputs!$F$27/2)+$G$18*($D51*E$44*(1-$M$14)+$I$4+$M$13*$G$5*$H$5*(1-$M$14))+($I$34-$I$18-$I$24-$I$31+$G$18*($D51*E$44*(1-$M$14)+$I$4+$M$13*$G$5*$H$5*(1-$M$14)))*(Inputs!$F$27/2))</f>
        <v>495.83450685025491</v>
      </c>
      <c r="F51" s="73">
        <f>($D51*F$44*(1-$M$14)+$I$4+$M$13*$G$5*$H$5*(1-$M$14))-($I$34-$I$18-($I$34-$I$18-$I$24-$I$31+$G$18*($D51*F$44*(1-$M$14)+$I$4+$M$13*$G$5*$H$5*(1-$M$14)))*(Inputs!$F$27/2)+$G$18*($D51*F$44*(1-$M$14)+$I$4+$M$13*$G$5*$H$5*(1-$M$14))+($I$34-$I$18-$I$24-$I$31+$G$18*($D51*F$44*(1-$M$14)+$I$4+$M$13*$G$5*$H$5*(1-$M$14)))*(Inputs!$F$27/2))</f>
        <v>715.42888185025549</v>
      </c>
      <c r="G51" s="73">
        <f>($D51*G$44*(1-$M$14)+$I$4+$M$13*$G$5*$H$5*(1-$M$14))-($I$34-$I$18-($I$34-$I$18-$I$24-$I$31+$G$18*($D51*G$44*(1-$M$14)+$I$4+$M$13*$G$5*$H$5*(1-$M$14)))*(Inputs!$F$27/2)+$G$18*($D51*G$44*(1-$M$14)+$I$4+$M$13*$G$5*$H$5*(1-$M$14))+($I$34-$I$18-$I$24-$I$31+$G$18*($D51*G$44*(1-$M$14)+$I$4+$M$13*$G$5*$H$5*(1-$M$14)))*(Inputs!$F$27/2))</f>
        <v>935.02325685025471</v>
      </c>
      <c r="H51" s="73">
        <f>($D51*H$44*(1-$M$14)+$I$4+$M$13*$G$5*$H$5*(1-$M$14))-($I$34-$I$18-($I$34-$I$18-$I$24-$I$31+$G$18*($D51*H$44*(1-$M$14)+$I$4+$M$13*$G$5*$H$5*(1-$M$14)))*(Inputs!$F$27/2)+$G$18*($D51*H$44*(1-$M$14)+$I$4+$M$13*$G$5*$H$5*(1-$M$14))+($I$34-$I$18-$I$24-$I$31+$G$18*($D51*H$44*(1-$M$14)+$I$4+$M$13*$G$5*$H$5*(1-$M$14)))*(Inputs!$F$27/2))</f>
        <v>1154.6176318502553</v>
      </c>
      <c r="I51" s="174">
        <f>($D51*I$44*(1-$M$14)+$I$4+$M$13*$G$5*$H$5*(1-$M$14))-($I$34-$I$18-($I$34-$I$18-$I$24-$I$31+$G$18*($D51*I$44*(1-$M$14)+$I$4+$M$13*$G$5*$H$5*(1-$M$14)))*(Inputs!$F$27/2)+$G$18*($D51*I$44*(1-$M$14)+$I$4+$M$13*$G$5*$H$5*(1-$M$14))+($I$34-$I$18-$I$24-$I$31+$G$18*($D51*I$44*(1-$M$14)+$I$4+$M$13*$G$5*$H$5*(1-$M$14)))*(Inputs!$F$27/2))</f>
        <v>1374.2120068502559</v>
      </c>
      <c r="J51" s="73">
        <f>($D51*J$44*(1-$M$14)+$I$4+$M$13*$G$5*$H$5*(1-$M$14))-($I$34-$I$18-($I$34-$I$18-$I$24-$I$31+$G$18*($D51*J$44*(1-$M$14)+$I$4+$M$13*$G$5*$H$5*(1-$M$14)))*(Inputs!$F$27/2)+$G$18*($D51*J$44*(1-$M$14)+$I$4+$M$13*$G$5*$H$5*(1-$M$14))+($I$34-$I$18-$I$24-$I$31+$G$18*($D51*J$44*(1-$M$14)+$I$4+$M$13*$G$5*$H$5*(1-$M$14)))*(Inputs!$F$27/2))</f>
        <v>1593.806381850256</v>
      </c>
    </row>
    <row r="52" spans="2:18" ht="16.5">
      <c r="B52" s="74"/>
      <c r="C52" s="76"/>
      <c r="D52" s="76"/>
      <c r="E52" s="75"/>
      <c r="F52" s="75"/>
      <c r="G52" s="75"/>
      <c r="H52" s="75"/>
      <c r="I52" s="75"/>
      <c r="J52" s="75"/>
    </row>
    <row r="53" spans="2:18" ht="16.5" hidden="1">
      <c r="B53" s="75"/>
      <c r="C53" s="76"/>
      <c r="D53" s="76"/>
      <c r="E53" s="75"/>
      <c r="F53" s="75"/>
      <c r="G53" s="75"/>
      <c r="H53" s="75"/>
      <c r="I53" s="75"/>
      <c r="J53" s="75"/>
    </row>
    <row r="54" spans="2:18" ht="16.5" hidden="1">
      <c r="B54" s="75"/>
      <c r="C54" s="76"/>
      <c r="D54" s="76"/>
      <c r="E54" s="75"/>
      <c r="F54" s="75"/>
      <c r="G54" s="75"/>
      <c r="H54" s="75"/>
      <c r="I54" s="75"/>
      <c r="J54" s="75"/>
    </row>
    <row r="55" spans="2:18" ht="16.5" hidden="1">
      <c r="B55" s="75"/>
      <c r="E55" s="75"/>
      <c r="F55" s="75"/>
      <c r="G55" s="75"/>
      <c r="H55" s="75"/>
      <c r="I55" s="75"/>
      <c r="J55" s="75"/>
    </row>
  </sheetData>
  <sheetProtection sheet="1" objects="1" scenarios="1"/>
  <protectedRanges>
    <protectedRange sqref="G3:H5 I6 G10:H10 G11 N3 G16 I17 G18 G20 I22:I23 G28 K3:L6 N4:N6 M12 M14:M16 O13:R18 L28:M30 K30 O28:P30 M21:M23 M17:M20" name="Grey cells"/>
  </protectedRanges>
  <mergeCells count="16">
    <mergeCell ref="C43:J43"/>
    <mergeCell ref="B44:B51"/>
    <mergeCell ref="S11:S12"/>
    <mergeCell ref="R11:R12"/>
    <mergeCell ref="Q11:Q12"/>
    <mergeCell ref="P11:P12"/>
    <mergeCell ref="O11:O12"/>
    <mergeCell ref="R26:R27"/>
    <mergeCell ref="Q26:Q27"/>
    <mergeCell ref="P26:P27"/>
    <mergeCell ref="O26:O27"/>
    <mergeCell ref="N26:N27"/>
    <mergeCell ref="M26:M27"/>
    <mergeCell ref="L26:L27"/>
    <mergeCell ref="K26:K27"/>
    <mergeCell ref="C44:C51"/>
  </mergeCells>
  <pageMargins left="0.75" right="0.75" top="1" bottom="1" header="0.5" footer="0.5"/>
  <pageSetup scale="76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02AE00F-36FE-4EC0-A65E-6E8525BC7525}">
          <x14:formula1>
            <xm:f>Inputs!$B$10:$B$21</xm:f>
          </x14:formula1>
          <xm:sqref>K3:K6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1D43-CEF0-4AB0-B484-4598CC599F1D}">
  <sheetPr>
    <pageSetUpPr fitToPage="1"/>
  </sheetPr>
  <dimension ref="A1:W57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6640625" style="13" customWidth="1"/>
    <col min="3" max="3" width="13" style="13" customWidth="1"/>
    <col min="4" max="4" width="8.88671875" style="13" customWidth="1"/>
    <col min="5" max="5" width="8.88671875" style="13" bestFit="1" customWidth="1"/>
    <col min="6" max="6" width="7.5546875" style="13" customWidth="1"/>
    <col min="7" max="7" width="9" style="13" customWidth="1"/>
    <col min="8" max="8" width="11.21875" style="13" customWidth="1"/>
    <col min="9" max="9" width="10.88671875" style="13" customWidth="1"/>
    <col min="10" max="10" width="9.109375" style="13" bestFit="1" customWidth="1"/>
    <col min="11" max="11" width="6.88671875" style="13" bestFit="1" customWidth="1"/>
    <col min="12" max="12" width="2" style="13" customWidth="1"/>
    <col min="13" max="13" width="17.5546875" style="13" customWidth="1"/>
    <col min="14" max="14" width="11.88671875" style="13" customWidth="1"/>
    <col min="15" max="15" width="12.5546875" style="13" customWidth="1"/>
    <col min="16" max="16" width="9.33203125" style="13" customWidth="1"/>
    <col min="17" max="17" width="9.109375" style="13" customWidth="1"/>
    <col min="18" max="18" width="13.33203125" style="13" bestFit="1" customWidth="1"/>
    <col min="19" max="19" width="8.6640625" style="13" customWidth="1"/>
    <col min="20" max="20" width="9.5546875" style="13" customWidth="1"/>
    <col min="21" max="21" width="8.44140625" style="13" customWidth="1"/>
    <col min="22" max="22" width="7.77734375" style="13" customWidth="1"/>
    <col min="23" max="23" width="3.33203125" style="13" customWidth="1"/>
    <col min="24" max="16384" width="8.88671875" style="13" hidden="1"/>
  </cols>
  <sheetData>
    <row r="1" spans="1:22" ht="20.100000000000001" customHeight="1">
      <c r="B1" s="150" t="s">
        <v>167</v>
      </c>
      <c r="C1" s="151"/>
      <c r="D1" s="152"/>
      <c r="E1" s="152"/>
      <c r="F1" s="152"/>
      <c r="G1" s="152"/>
      <c r="H1" s="152"/>
      <c r="I1" s="152"/>
      <c r="J1" s="152"/>
      <c r="M1" s="106" t="s">
        <v>133</v>
      </c>
      <c r="N1" s="106"/>
      <c r="O1" s="106"/>
      <c r="P1" s="156"/>
      <c r="Q1" s="106"/>
      <c r="R1" s="107"/>
      <c r="S1" s="107"/>
      <c r="T1" s="107"/>
    </row>
    <row r="2" spans="1:22" ht="45">
      <c r="B2" s="18" t="s">
        <v>25</v>
      </c>
      <c r="C2" s="17"/>
      <c r="D2" s="17"/>
      <c r="E2" s="17"/>
      <c r="F2" s="18" t="s">
        <v>38</v>
      </c>
      <c r="G2" s="18" t="s">
        <v>47</v>
      </c>
      <c r="H2" s="18" t="s">
        <v>48</v>
      </c>
      <c r="I2" s="179" t="s">
        <v>127</v>
      </c>
      <c r="J2" s="179" t="s">
        <v>128</v>
      </c>
      <c r="M2" s="164" t="s">
        <v>58</v>
      </c>
      <c r="N2" s="164" t="s">
        <v>158</v>
      </c>
      <c r="O2" s="164" t="s">
        <v>76</v>
      </c>
      <c r="P2" s="164" t="s">
        <v>143</v>
      </c>
      <c r="Q2" s="164" t="s">
        <v>142</v>
      </c>
      <c r="R2" s="164" t="s">
        <v>350</v>
      </c>
      <c r="S2" s="164" t="s">
        <v>151</v>
      </c>
      <c r="T2" s="164" t="s">
        <v>150</v>
      </c>
    </row>
    <row r="3" spans="1:22" ht="15.95" customHeight="1">
      <c r="B3" s="120" t="s">
        <v>10</v>
      </c>
      <c r="C3" s="20" t="s">
        <v>129</v>
      </c>
      <c r="D3" s="20"/>
      <c r="E3" s="20"/>
      <c r="F3" s="51" t="s">
        <v>50</v>
      </c>
      <c r="G3" s="52">
        <v>8.1999999999999993</v>
      </c>
      <c r="H3" s="53">
        <v>373.31</v>
      </c>
      <c r="I3" s="54">
        <f>G3*H3</f>
        <v>3061.1419999999998</v>
      </c>
      <c r="J3" s="54"/>
      <c r="M3" s="37" t="s">
        <v>22</v>
      </c>
      <c r="N3" s="45">
        <v>0.5</v>
      </c>
      <c r="O3" s="38">
        <f>AVERAGE(P3,Q3)/$O$14/(AVERAGE($G$3,$G$4,$G$9,$G$10)*100)</f>
        <v>1.2915129151291508E-2</v>
      </c>
      <c r="P3" s="39">
        <f>N3*$O$15*$O$16*$O$14/VLOOKUP(M3,Inputs!$B$11:$F$21,4,FALSE)</f>
        <v>1149.9999999999993</v>
      </c>
      <c r="Q3" s="39">
        <f>N3*$P$15*$P$16*$P$14</f>
        <v>950</v>
      </c>
      <c r="R3" s="27">
        <f>(P3*$O$18+Q3*$P$18)/SUM($O$18:$P$18)/VLOOKUP(M3,Inputs!$B$10:$F$21,3,FALSE)*VLOOKUP(M3,Inputs!$B$10:$F$21,5,FALSE)/AVERAGE($O$14:$P$14)</f>
        <v>0.40124999999999988</v>
      </c>
      <c r="S3" s="40">
        <f>P3*$O$18+Q3*$P$18</f>
        <v>53499.999999999978</v>
      </c>
      <c r="T3" s="27">
        <f>R3*SUM($O$18:$P$18)*AVERAGE($O$14:$P$14)</f>
        <v>2407.4999999999991</v>
      </c>
    </row>
    <row r="4" spans="1:22" ht="15.95" customHeight="1">
      <c r="A4" s="16"/>
      <c r="B4" s="120" t="s">
        <v>11</v>
      </c>
      <c r="C4" s="20" t="s">
        <v>130</v>
      </c>
      <c r="D4" s="20"/>
      <c r="E4" s="20"/>
      <c r="F4" s="51" t="s">
        <v>50</v>
      </c>
      <c r="G4" s="52">
        <v>7.5</v>
      </c>
      <c r="H4" s="53">
        <v>359.15</v>
      </c>
      <c r="I4" s="54"/>
      <c r="J4" s="54">
        <f>G4*H4</f>
        <v>2693.625</v>
      </c>
      <c r="M4" s="37" t="s">
        <v>353</v>
      </c>
      <c r="N4" s="45">
        <v>0.3</v>
      </c>
      <c r="O4" s="38">
        <f>AVERAGE(P4,Q4)/$O$14/(AVERAGE($G$3,$G$4,$G$9,$G$10)*100)</f>
        <v>7.7490774907749051E-3</v>
      </c>
      <c r="P4" s="39">
        <f>N4*$O$15*$O$16*$O$14/VLOOKUP(M4,Inputs!$B$11:$F$21,4,FALSE)</f>
        <v>689.99999999999943</v>
      </c>
      <c r="Q4" s="39">
        <f>N4*$P$15*$P$16*$P$14</f>
        <v>570</v>
      </c>
      <c r="R4" s="27">
        <f>(P4*$O$18+Q4*$P$18)/SUM($O$18:$P$18)/VLOOKUP(M4,Inputs!$B$10:$F$21,3,FALSE)*VLOOKUP(M4,Inputs!$B$10:$F$21,5,FALSE)/AVERAGE($O$14:$P$14)</f>
        <v>0.5015624999999998</v>
      </c>
      <c r="S4" s="40">
        <f>P4*$O$18+Q4*$P$18</f>
        <v>32099.999999999982</v>
      </c>
      <c r="T4" s="27">
        <f t="shared" ref="T4:T7" si="0">R4*SUM($O$18:$P$18)*AVERAGE($O$14:$P$14)</f>
        <v>3009.3749999999986</v>
      </c>
    </row>
    <row r="5" spans="1:22" ht="15.95" customHeight="1">
      <c r="A5" s="16"/>
      <c r="B5" s="120"/>
      <c r="C5" s="20" t="s">
        <v>5</v>
      </c>
      <c r="D5" s="20"/>
      <c r="E5" s="20"/>
      <c r="F5" s="51"/>
      <c r="G5" s="20"/>
      <c r="H5" s="20"/>
      <c r="I5" s="80"/>
      <c r="J5" s="28"/>
      <c r="K5" s="15"/>
      <c r="L5" s="15"/>
      <c r="M5" s="37" t="s">
        <v>41</v>
      </c>
      <c r="N5" s="45">
        <v>0.18</v>
      </c>
      <c r="O5" s="38">
        <f>AVERAGE(P5,Q5)/$O$14/(AVERAGE($G$3,$G$4,$G$9,$G$10)*100)</f>
        <v>4.5626467628312635E-3</v>
      </c>
      <c r="P5" s="39">
        <f>N5*$O$15*$O$16*$O$14/VLOOKUP(M5,Inputs!$B$11:$F$21,4,FALSE)</f>
        <v>399.8863636363634</v>
      </c>
      <c r="Q5" s="39">
        <f>N5*$P$15*$P$16*$P$14</f>
        <v>342</v>
      </c>
      <c r="R5" s="27">
        <f>(P5*$O$18+Q5*$P$18)/SUM($O$18:$P$18)/VLOOKUP(M5,Inputs!$B$10:$F$21,3,FALSE)*VLOOKUP(M5,Inputs!$B$10:$F$21,5,FALSE)/AVERAGE($O$14:$P$14)</f>
        <v>0.27470028409090907</v>
      </c>
      <c r="S5" s="40">
        <f>P5*$O$18+Q5*$P$18</f>
        <v>18836.590909090904</v>
      </c>
      <c r="T5" s="27">
        <f t="shared" si="0"/>
        <v>1648.2017045454545</v>
      </c>
    </row>
    <row r="6" spans="1:22" ht="15.95" customHeight="1">
      <c r="A6" s="21"/>
      <c r="B6" s="20"/>
      <c r="C6" s="69"/>
      <c r="D6" s="69"/>
      <c r="E6" s="69"/>
      <c r="F6" s="51"/>
      <c r="G6" s="20"/>
      <c r="H6" s="55" t="s">
        <v>26</v>
      </c>
      <c r="I6" s="81">
        <f>SUM(I3:I5)*(1-O17)</f>
        <v>3030.5305799999996</v>
      </c>
      <c r="J6" s="56">
        <f>SUM(J3:J5)*(1-P17)</f>
        <v>2666.6887499999998</v>
      </c>
      <c r="K6" s="22"/>
      <c r="L6" s="22"/>
      <c r="M6" s="37" t="s">
        <v>42</v>
      </c>
      <c r="N6" s="253">
        <v>5.0000000000000001E-3</v>
      </c>
      <c r="O6" s="38">
        <f>AVERAGE(P6,Q6)/$O$14/(AVERAGE($G$3,$G$4,$G$9,$G$10)*100)</f>
        <v>1.1976930993799732E-4</v>
      </c>
      <c r="P6" s="39">
        <f>N6*$O$15*$O$16*$O$14/VLOOKUP(M6,Inputs!$B$11:$F$21,4,FALSE)</f>
        <v>9.9744897959183625</v>
      </c>
      <c r="Q6" s="39">
        <f>N6*$P$15*$P$16*$P$14</f>
        <v>9.5</v>
      </c>
      <c r="R6" s="27">
        <f>(P6*$O$18+Q6*$P$18)/SUM($O$18:$P$18)/VLOOKUP(M6,Inputs!$B$10:$F$21,3,FALSE)*VLOOKUP(M6,Inputs!$B$10:$F$21,5,FALSE)/AVERAGE($O$14:$P$14)</f>
        <v>1.0600085034013603E-2</v>
      </c>
      <c r="S6" s="40">
        <f>P6*$O$18+Q6*$P$18</f>
        <v>489.23469387755085</v>
      </c>
      <c r="T6" s="27">
        <f t="shared" si="0"/>
        <v>63.600510204081615</v>
      </c>
    </row>
    <row r="7" spans="1:22" ht="15.95" customHeight="1">
      <c r="A7" s="21"/>
      <c r="B7" s="20"/>
      <c r="C7" s="69"/>
      <c r="D7" s="69"/>
      <c r="E7" s="69"/>
      <c r="F7" s="51"/>
      <c r="G7" s="20"/>
      <c r="H7" s="20"/>
      <c r="I7" s="20"/>
      <c r="J7" s="57"/>
      <c r="M7" s="37" t="s">
        <v>36</v>
      </c>
      <c r="N7" s="45">
        <v>0.01</v>
      </c>
      <c r="O7" s="38">
        <f>AVERAGE(P7,Q7)/$O$14/(AVERAGE($G$3,$G$4,$G$9,$G$10)*100)</f>
        <v>2.3953861987599463E-4</v>
      </c>
      <c r="P7" s="39">
        <f>N7*$O$15*$O$16*$O$14/VLOOKUP(M7,Inputs!$B$11:$F$21,4,FALSE)</f>
        <v>19.948979591836725</v>
      </c>
      <c r="Q7" s="39">
        <f>N7*$P$15*$P$16*$P$14</f>
        <v>19</v>
      </c>
      <c r="R7" s="43">
        <f>(P7*$O$18+Q7*$P$18)/SUM($O$18:$P$18)/VLOOKUP(M7,Inputs!$B$10:$F$21,3,FALSE)*VLOOKUP(M7,Inputs!$B$10:$F$21,5,FALSE)/AVERAGE($O$14:$P$14)</f>
        <v>9.7846938775510164E-2</v>
      </c>
      <c r="S7" s="40">
        <f>P7*$O$18+Q7*$P$18</f>
        <v>978.46938775510171</v>
      </c>
      <c r="T7" s="43">
        <f t="shared" si="0"/>
        <v>587.08163265306098</v>
      </c>
    </row>
    <row r="8" spans="1:22" ht="15.95" customHeight="1">
      <c r="A8" s="21"/>
      <c r="B8" s="18" t="s">
        <v>24</v>
      </c>
      <c r="C8" s="17"/>
      <c r="D8" s="17"/>
      <c r="E8" s="17"/>
      <c r="F8" s="18" t="s">
        <v>38</v>
      </c>
      <c r="G8" s="18" t="s">
        <v>47</v>
      </c>
      <c r="H8" s="18" t="s">
        <v>48</v>
      </c>
      <c r="I8" s="18" t="s">
        <v>205</v>
      </c>
      <c r="J8" s="180" t="s">
        <v>206</v>
      </c>
      <c r="M8" s="32"/>
      <c r="N8" s="178"/>
      <c r="O8" s="109"/>
      <c r="P8" s="169"/>
      <c r="Q8" s="104" t="s">
        <v>157</v>
      </c>
      <c r="R8" s="111">
        <f>SUM(R3:R7)</f>
        <v>1.2859598079004324</v>
      </c>
      <c r="S8" s="112"/>
      <c r="T8" s="111">
        <f>SUM(T3:T7)</f>
        <v>7715.7588474025952</v>
      </c>
    </row>
    <row r="9" spans="1:22" ht="15.95" customHeight="1">
      <c r="A9" s="21"/>
      <c r="B9" s="69"/>
      <c r="C9" s="20" t="s">
        <v>131</v>
      </c>
      <c r="D9" s="20"/>
      <c r="E9" s="20"/>
      <c r="F9" s="51" t="s">
        <v>50</v>
      </c>
      <c r="G9" s="52">
        <v>5.9</v>
      </c>
      <c r="H9" s="53">
        <v>430.82663801060579</v>
      </c>
      <c r="I9" s="54">
        <f>G9*H9</f>
        <v>2541.8771642625743</v>
      </c>
      <c r="J9" s="66"/>
      <c r="M9" s="49"/>
      <c r="N9" s="48"/>
      <c r="O9" s="48"/>
      <c r="P9" s="48"/>
      <c r="R9" s="222">
        <f>AVERAGE(SUM(I11:I15),SUM(J11:J15))/(AVERAGE(G3:G4)-AVERAGE(G9:G10))</f>
        <v>70.567704243430981</v>
      </c>
    </row>
    <row r="10" spans="1:22" ht="15.95" customHeight="1">
      <c r="A10" s="21"/>
      <c r="B10" s="20"/>
      <c r="C10" s="20" t="s">
        <v>124</v>
      </c>
      <c r="D10" s="20"/>
      <c r="E10" s="20"/>
      <c r="F10" s="51" t="s">
        <v>50</v>
      </c>
      <c r="G10" s="52">
        <v>5.5</v>
      </c>
      <c r="H10" s="53">
        <v>408.0902620981858</v>
      </c>
      <c r="I10" s="54"/>
      <c r="J10" s="66">
        <f>G10*H10</f>
        <v>2244.4964415400218</v>
      </c>
      <c r="M10" s="48"/>
      <c r="N10" s="48"/>
      <c r="O10" s="48"/>
      <c r="P10" s="48"/>
    </row>
    <row r="11" spans="1:22" ht="15.95" customHeight="1">
      <c r="A11" s="16"/>
      <c r="B11" s="20"/>
      <c r="C11" s="20" t="str">
        <f>M3</f>
        <v>Mixed hay</v>
      </c>
      <c r="D11" s="20"/>
      <c r="E11" s="20"/>
      <c r="F11" s="51" t="str">
        <f>VLOOKUP(C11,Inputs!$B$10:$F$21,2,FALSE)</f>
        <v>ton</v>
      </c>
      <c r="G11" s="58"/>
      <c r="H11" s="54">
        <f>VLOOKUP(C11,Inputs!$B$10:$F$21,5,FALSE)</f>
        <v>90</v>
      </c>
      <c r="I11" s="54">
        <f>$H11*P3/VLOOKUP(C11,Inputs!$B$10:$F$21,3,FALSE)</f>
        <v>51.749999999999972</v>
      </c>
      <c r="J11" s="54">
        <f>$H11*Q3/VLOOKUP(C11,Inputs!$B$10:$F$21,3,FALSE)</f>
        <v>42.75</v>
      </c>
      <c r="M11" s="106" t="s">
        <v>62</v>
      </c>
      <c r="N11" s="106"/>
      <c r="O11" s="106"/>
      <c r="P11" s="183"/>
      <c r="R11" s="106" t="s">
        <v>83</v>
      </c>
      <c r="S11" s="106"/>
      <c r="T11" s="106"/>
      <c r="U11" s="106"/>
      <c r="V11" s="106"/>
    </row>
    <row r="12" spans="1:22" ht="15.95" customHeight="1">
      <c r="A12" s="16"/>
      <c r="B12" s="20"/>
      <c r="C12" s="20" t="str">
        <f>M4</f>
        <v>Purchased corn</v>
      </c>
      <c r="D12" s="20"/>
      <c r="E12" s="20"/>
      <c r="F12" s="51" t="str">
        <f>VLOOKUP(C12,Inputs!$B$10:$F$21,2,FALSE)</f>
        <v>bushel</v>
      </c>
      <c r="G12" s="58"/>
      <c r="H12" s="54">
        <f>VLOOKUP(C12,Inputs!$B$10:$F$21,5,FALSE)</f>
        <v>5.25</v>
      </c>
      <c r="I12" s="54">
        <f>$H12*P4/VLOOKUP(C12,Inputs!$B$10:$F$21,3,FALSE)</f>
        <v>64.687499999999943</v>
      </c>
      <c r="J12" s="54">
        <f>$H12*Q4/VLOOKUP(C12,Inputs!$B$10:$F$21,3,FALSE)</f>
        <v>53.4375</v>
      </c>
      <c r="M12" s="301"/>
      <c r="N12" s="290" t="s">
        <v>38</v>
      </c>
      <c r="O12" s="290" t="s">
        <v>136</v>
      </c>
      <c r="P12" s="290" t="s">
        <v>137</v>
      </c>
      <c r="R12" s="290" t="s">
        <v>82</v>
      </c>
      <c r="S12" s="290" t="s">
        <v>84</v>
      </c>
      <c r="T12" s="290" t="s">
        <v>208</v>
      </c>
      <c r="U12" s="290" t="s">
        <v>85</v>
      </c>
      <c r="V12" s="290" t="s">
        <v>86</v>
      </c>
    </row>
    <row r="13" spans="1:22" ht="15.95" customHeight="1">
      <c r="A13" s="16"/>
      <c r="B13" s="20"/>
      <c r="C13" s="20" t="str">
        <f>M5</f>
        <v>Dried distillers grains</v>
      </c>
      <c r="D13" s="20"/>
      <c r="E13" s="20"/>
      <c r="F13" s="51" t="str">
        <f>VLOOKUP(C13,Inputs!$B$10:$F$21,2,FALSE)</f>
        <v>ton</v>
      </c>
      <c r="G13" s="58"/>
      <c r="H13" s="54">
        <f>VLOOKUP(C13,Inputs!$B$10:$F$21,5,FALSE)</f>
        <v>175</v>
      </c>
      <c r="I13" s="54">
        <f>$H13*P5/VLOOKUP(C13,Inputs!$B$10:$F$21,3,FALSE)</f>
        <v>34.990056818181792</v>
      </c>
      <c r="J13" s="54">
        <f>$H13*Q5/VLOOKUP(C13,Inputs!$B$10:$F$21,3,FALSE)</f>
        <v>29.925000000000001</v>
      </c>
      <c r="M13" s="302"/>
      <c r="N13" s="274"/>
      <c r="O13" s="274"/>
      <c r="P13" s="274"/>
      <c r="R13" s="274"/>
      <c r="S13" s="274"/>
      <c r="T13" s="274"/>
      <c r="U13" s="274"/>
      <c r="V13" s="274"/>
    </row>
    <row r="14" spans="1:22" ht="15.95" customHeight="1">
      <c r="A14" s="16"/>
      <c r="B14" s="20"/>
      <c r="C14" s="20" t="str">
        <f>M6</f>
        <v>Limestone</v>
      </c>
      <c r="D14" s="20"/>
      <c r="E14" s="20"/>
      <c r="F14" s="51" t="str">
        <f>VLOOKUP(C14,Inputs!$B$10:$F$21,2,FALSE)</f>
        <v>cwt.</v>
      </c>
      <c r="G14" s="58"/>
      <c r="H14" s="54">
        <f>VLOOKUP(C14,Inputs!$B$10:$F$21,5,FALSE)</f>
        <v>13</v>
      </c>
      <c r="I14" s="54">
        <f>$H14*P6/VLOOKUP(C14,Inputs!$B$10:$F$21,3,FALSE)</f>
        <v>1.2966836734693872</v>
      </c>
      <c r="J14" s="54">
        <f>$H14*Q6/VLOOKUP(C14,Inputs!$B$10:$F$21,3,FALSE)</f>
        <v>1.2350000000000001</v>
      </c>
      <c r="M14" s="13" t="s">
        <v>138</v>
      </c>
      <c r="N14" s="4" t="s">
        <v>116</v>
      </c>
      <c r="O14" s="37">
        <v>120</v>
      </c>
      <c r="P14" s="37">
        <v>120</v>
      </c>
      <c r="R14" s="91" t="s">
        <v>175</v>
      </c>
      <c r="S14" s="44">
        <v>55</v>
      </c>
      <c r="T14" s="37">
        <v>0.75</v>
      </c>
      <c r="U14" s="37">
        <v>60</v>
      </c>
      <c r="V14" s="27">
        <f>S14*T14*U14</f>
        <v>2475</v>
      </c>
    </row>
    <row r="15" spans="1:22" ht="15.95" customHeight="1">
      <c r="A15" s="16"/>
      <c r="B15" s="20"/>
      <c r="C15" s="20" t="str">
        <f>M7</f>
        <v>Salt and minerals</v>
      </c>
      <c r="D15" s="20"/>
      <c r="E15" s="20"/>
      <c r="F15" s="51" t="str">
        <f>VLOOKUP(C15,Inputs!$B$10:$F$21,2,FALSE)</f>
        <v>pound</v>
      </c>
      <c r="G15" s="58"/>
      <c r="H15" s="84">
        <f>VLOOKUP(C15,Inputs!$B$10:$F$21,5,FALSE)</f>
        <v>0.6</v>
      </c>
      <c r="I15" s="54">
        <f>$H15*P7/VLOOKUP(C15,Inputs!$B$10:$F$21,3,FALSE)</f>
        <v>11.969387755102035</v>
      </c>
      <c r="J15" s="54">
        <f>$H15*Q7/VLOOKUP(C15,Inputs!$B$10:$F$21,3,FALSE)</f>
        <v>11.4</v>
      </c>
      <c r="M15" s="13" t="s">
        <v>139</v>
      </c>
      <c r="N15" s="4" t="s">
        <v>343</v>
      </c>
      <c r="O15" s="83">
        <f>(G3-G9)*100/O14</f>
        <v>1.9166666666666656</v>
      </c>
      <c r="P15" s="184">
        <f>(G4-G10)*100/P14</f>
        <v>1.6666666666666667</v>
      </c>
      <c r="R15" s="91" t="s">
        <v>146</v>
      </c>
      <c r="S15" s="44">
        <v>15</v>
      </c>
      <c r="T15" s="37">
        <v>0.75</v>
      </c>
      <c r="U15" s="37">
        <v>55</v>
      </c>
      <c r="V15" s="27">
        <f t="shared" ref="V15:V19" si="1">S15*T15*U15</f>
        <v>618.75</v>
      </c>
    </row>
    <row r="16" spans="1:22" ht="15.95" customHeight="1">
      <c r="A16" s="16"/>
      <c r="B16" s="20"/>
      <c r="C16" s="20" t="s">
        <v>12</v>
      </c>
      <c r="D16" s="20"/>
      <c r="E16" s="20"/>
      <c r="F16" s="51" t="s">
        <v>55</v>
      </c>
      <c r="G16" s="52">
        <v>2.5</v>
      </c>
      <c r="H16" s="54">
        <f>Inputs!F23</f>
        <v>22</v>
      </c>
      <c r="I16" s="54">
        <f>G16*H16</f>
        <v>55</v>
      </c>
      <c r="J16" s="54">
        <f>G16*H16</f>
        <v>55</v>
      </c>
      <c r="M16" s="13" t="s">
        <v>140</v>
      </c>
      <c r="N16" s="4" t="s">
        <v>141</v>
      </c>
      <c r="O16" s="82">
        <v>8.5</v>
      </c>
      <c r="P16" s="185">
        <v>9.5</v>
      </c>
      <c r="R16" s="91" t="s">
        <v>87</v>
      </c>
      <c r="S16" s="44">
        <v>32</v>
      </c>
      <c r="T16" s="37">
        <v>0.5</v>
      </c>
      <c r="U16" s="37">
        <v>30</v>
      </c>
      <c r="V16" s="102">
        <f t="shared" si="1"/>
        <v>480</v>
      </c>
    </row>
    <row r="17" spans="1:22" ht="15.95" customHeight="1">
      <c r="A17" s="16"/>
      <c r="B17" s="20"/>
      <c r="C17" s="20" t="s">
        <v>0</v>
      </c>
      <c r="D17" s="20"/>
      <c r="E17" s="20"/>
      <c r="F17" s="51"/>
      <c r="G17" s="20"/>
      <c r="H17" s="20"/>
      <c r="I17" s="53">
        <v>20</v>
      </c>
      <c r="J17" s="53">
        <v>20</v>
      </c>
      <c r="M17" s="13" t="s">
        <v>135</v>
      </c>
      <c r="N17" s="4" t="s">
        <v>120</v>
      </c>
      <c r="O17" s="45">
        <v>0.01</v>
      </c>
      <c r="P17" s="45">
        <v>0.01</v>
      </c>
      <c r="R17" s="91" t="s">
        <v>88</v>
      </c>
      <c r="S17" s="44">
        <v>20</v>
      </c>
      <c r="T17" s="37">
        <v>4</v>
      </c>
      <c r="U17" s="37">
        <v>2</v>
      </c>
      <c r="V17" s="103">
        <f t="shared" si="1"/>
        <v>160</v>
      </c>
    </row>
    <row r="18" spans="1:22" ht="15.95" customHeight="1">
      <c r="A18" s="16"/>
      <c r="B18" s="20"/>
      <c r="C18" s="20" t="s">
        <v>14</v>
      </c>
      <c r="D18" s="20"/>
      <c r="E18" s="20"/>
      <c r="F18" s="51" t="s">
        <v>81</v>
      </c>
      <c r="G18" s="252">
        <v>2.5000000000000001E-2</v>
      </c>
      <c r="H18" s="20"/>
      <c r="I18" s="54">
        <f>G18*I6</f>
        <v>75.763264499999991</v>
      </c>
      <c r="J18" s="54">
        <f>G18*J6</f>
        <v>66.667218750000004</v>
      </c>
      <c r="M18" s="13" t="s">
        <v>144</v>
      </c>
      <c r="N18" s="4" t="s">
        <v>116</v>
      </c>
      <c r="O18" s="37">
        <v>30</v>
      </c>
      <c r="P18" s="100">
        <v>20</v>
      </c>
      <c r="R18" s="91" t="s">
        <v>89</v>
      </c>
      <c r="S18" s="44">
        <v>12</v>
      </c>
      <c r="T18" s="37">
        <v>0.5</v>
      </c>
      <c r="U18" s="37">
        <v>55</v>
      </c>
      <c r="V18" s="102">
        <f t="shared" si="1"/>
        <v>330</v>
      </c>
    </row>
    <row r="19" spans="1:22" ht="15.95" customHeight="1">
      <c r="A19" s="16"/>
      <c r="B19" s="20"/>
      <c r="C19" s="20" t="s">
        <v>132</v>
      </c>
      <c r="D19" s="20"/>
      <c r="E19" s="20"/>
      <c r="F19" s="51"/>
      <c r="G19" s="59"/>
      <c r="H19" s="20"/>
      <c r="I19" s="53">
        <v>20</v>
      </c>
      <c r="J19" s="53">
        <v>20</v>
      </c>
      <c r="M19" s="32" t="s">
        <v>35</v>
      </c>
      <c r="N19" s="89" t="s">
        <v>99</v>
      </c>
      <c r="O19" s="87">
        <v>25</v>
      </c>
      <c r="P19" s="87">
        <v>25</v>
      </c>
      <c r="R19" s="37"/>
      <c r="S19" s="44">
        <v>0</v>
      </c>
      <c r="T19" s="37">
        <v>0</v>
      </c>
      <c r="U19" s="37">
        <v>0</v>
      </c>
      <c r="V19" s="105">
        <f t="shared" si="1"/>
        <v>0</v>
      </c>
    </row>
    <row r="20" spans="1:22" ht="15.95" customHeight="1">
      <c r="A20" s="16"/>
      <c r="B20" s="20"/>
      <c r="C20" s="20" t="s">
        <v>23</v>
      </c>
      <c r="D20" s="20"/>
      <c r="E20" s="20"/>
      <c r="F20" s="51"/>
      <c r="G20" s="20"/>
      <c r="H20" s="20"/>
      <c r="I20" s="54">
        <f>($V$20+O19*12)/SUM(O18,P18)</f>
        <v>87.275000000000006</v>
      </c>
      <c r="J20" s="54">
        <f>($V$20+P19*12)/SUM(P18,O18)</f>
        <v>87.275000000000006</v>
      </c>
      <c r="O20" s="27"/>
      <c r="P20" s="27"/>
      <c r="R20" s="104"/>
      <c r="S20" s="32"/>
      <c r="T20" s="32"/>
      <c r="U20" s="104" t="s">
        <v>196</v>
      </c>
      <c r="V20" s="108">
        <f>SUM(V14:V19)</f>
        <v>4063.75</v>
      </c>
    </row>
    <row r="21" spans="1:22" ht="15.95" customHeight="1">
      <c r="A21" s="16"/>
      <c r="B21" s="120" t="s">
        <v>15</v>
      </c>
      <c r="C21" s="20" t="s">
        <v>13</v>
      </c>
      <c r="D21" s="20"/>
      <c r="E21" s="20"/>
      <c r="F21" s="51" t="s">
        <v>100</v>
      </c>
      <c r="G21" s="31">
        <v>0.02</v>
      </c>
      <c r="H21" s="20"/>
      <c r="I21" s="54">
        <f>G21*((P29+N27*R27)/2)</f>
        <v>16.100000000000001</v>
      </c>
      <c r="J21" s="54">
        <f>G21*((P29+N27*R27)/2)</f>
        <v>16.100000000000001</v>
      </c>
      <c r="O21" s="27"/>
      <c r="P21" s="27"/>
      <c r="Q21" s="70"/>
      <c r="U21" s="71"/>
      <c r="V21" s="71"/>
    </row>
    <row r="22" spans="1:22" ht="15.95" customHeight="1">
      <c r="A22" s="23"/>
      <c r="B22" s="20"/>
      <c r="C22" s="20" t="s">
        <v>2</v>
      </c>
      <c r="D22" s="20"/>
      <c r="E22" s="20"/>
      <c r="F22" s="51"/>
      <c r="G22" s="20"/>
      <c r="H22" s="61"/>
      <c r="I22" s="53">
        <v>10</v>
      </c>
      <c r="J22" s="53">
        <v>10</v>
      </c>
    </row>
    <row r="23" spans="1:22" ht="18.75">
      <c r="A23" s="23"/>
      <c r="B23" s="20"/>
      <c r="C23" s="20" t="s">
        <v>328</v>
      </c>
      <c r="D23" s="20"/>
      <c r="E23" s="20"/>
      <c r="F23" s="51"/>
      <c r="G23" s="20"/>
      <c r="H23" s="61"/>
      <c r="I23" s="53">
        <v>20</v>
      </c>
      <c r="J23" s="53">
        <v>18</v>
      </c>
      <c r="M23" s="106" t="s">
        <v>91</v>
      </c>
      <c r="N23" s="106"/>
      <c r="O23" s="106"/>
      <c r="P23" s="106"/>
      <c r="Q23" s="106"/>
      <c r="R23" s="156"/>
      <c r="S23" s="156"/>
      <c r="T23" s="106"/>
    </row>
    <row r="24" spans="1:22" ht="18" customHeight="1">
      <c r="A24" s="16"/>
      <c r="B24" s="20"/>
      <c r="C24" s="20" t="s">
        <v>4</v>
      </c>
      <c r="D24" s="20"/>
      <c r="E24" s="20"/>
      <c r="F24" s="51"/>
      <c r="G24" s="20"/>
      <c r="H24" s="20"/>
      <c r="I24" s="53">
        <v>10</v>
      </c>
      <c r="J24" s="53">
        <v>10</v>
      </c>
      <c r="M24" s="290" t="s">
        <v>190</v>
      </c>
      <c r="N24" s="290" t="s">
        <v>94</v>
      </c>
      <c r="O24" s="290" t="s">
        <v>148</v>
      </c>
      <c r="P24" s="290" t="s">
        <v>170</v>
      </c>
      <c r="Q24" s="290" t="s">
        <v>96</v>
      </c>
      <c r="R24" s="295" t="s">
        <v>6</v>
      </c>
      <c r="S24" s="290" t="s">
        <v>86</v>
      </c>
      <c r="T24" s="290" t="s">
        <v>177</v>
      </c>
    </row>
    <row r="25" spans="1:22" ht="15.95" customHeight="1">
      <c r="A25" s="16"/>
      <c r="B25" s="20"/>
      <c r="C25" s="20" t="str">
        <f>"Operating interest"</f>
        <v>Operating interest</v>
      </c>
      <c r="D25" s="20"/>
      <c r="E25" s="20"/>
      <c r="F25" s="51"/>
      <c r="G25" s="86">
        <f>Inputs!F27</f>
        <v>7.2499999999999995E-2</v>
      </c>
      <c r="H25" s="20"/>
      <c r="I25" s="29">
        <f>(SUM(I9:I24)-I18)*Inputs!$F27*(AVERAGE($O$14:$P$14)/365)</f>
        <v>70.194598342003147</v>
      </c>
      <c r="J25" s="29">
        <f>(SUM(J9:J24)-J18)*Inputs!$F27*(AVERAGE($O$14:$P$14)/365)</f>
        <v>62.440232305200517</v>
      </c>
      <c r="M25" s="274"/>
      <c r="N25" s="274"/>
      <c r="O25" s="274"/>
      <c r="P25" s="274"/>
      <c r="Q25" s="274"/>
      <c r="R25" s="276"/>
      <c r="S25" s="274"/>
      <c r="T25" s="274"/>
    </row>
    <row r="26" spans="1:22" ht="15.95" customHeight="1">
      <c r="A26" s="16"/>
      <c r="B26" s="20"/>
      <c r="C26" s="2"/>
      <c r="D26" s="2"/>
      <c r="E26" s="2"/>
      <c r="F26" s="62"/>
      <c r="G26" s="2"/>
      <c r="H26" s="55" t="s">
        <v>28</v>
      </c>
      <c r="I26" s="81">
        <f>SUM(I9:I25)</f>
        <v>3090.9036553513311</v>
      </c>
      <c r="J26" s="63">
        <f>SUM(J10:J25)</f>
        <v>2748.7263925952225</v>
      </c>
      <c r="M26" s="13" t="s">
        <v>92</v>
      </c>
      <c r="N26" s="44">
        <v>12500</v>
      </c>
      <c r="O26" s="45">
        <v>0.8</v>
      </c>
      <c r="P26" s="27">
        <f>N26*O26/SUM($O$18,$P$18)</f>
        <v>200</v>
      </c>
      <c r="Q26" s="37">
        <v>30</v>
      </c>
      <c r="R26" s="45">
        <v>0.25</v>
      </c>
      <c r="S26" s="27">
        <f>(N26-(R26*N26))/Q26+(N26+N26*R26)/2*(Inputs!$F$28)*O26</f>
        <v>750</v>
      </c>
      <c r="T26" s="27">
        <f>S26/SUM($O$18:$P$18)</f>
        <v>15</v>
      </c>
    </row>
    <row r="27" spans="1:22" ht="15.95" customHeight="1">
      <c r="A27" s="16"/>
      <c r="B27" s="2"/>
      <c r="C27" s="2"/>
      <c r="D27" s="2"/>
      <c r="E27" s="2"/>
      <c r="F27" s="62"/>
      <c r="G27" s="2"/>
      <c r="H27" s="2"/>
      <c r="I27" s="2"/>
      <c r="J27" s="64"/>
      <c r="M27" s="13" t="s">
        <v>93</v>
      </c>
      <c r="N27" s="44">
        <v>5000</v>
      </c>
      <c r="O27" s="45">
        <v>1</v>
      </c>
      <c r="P27" s="27">
        <f>N27*O27/SUM($O$18,$P$18)</f>
        <v>100</v>
      </c>
      <c r="Q27" s="37">
        <v>20</v>
      </c>
      <c r="R27" s="45">
        <v>0.25</v>
      </c>
      <c r="S27" s="27">
        <f>(N27-(R27*N27))/Q27+(N27+N27*R27)/2*(Inputs!$F$28)*O27</f>
        <v>406.25</v>
      </c>
      <c r="T27" s="27">
        <f>S27/SUM($O$18:$P$18)</f>
        <v>8.125</v>
      </c>
    </row>
    <row r="28" spans="1:22" ht="15.95" customHeight="1">
      <c r="A28" s="16"/>
      <c r="B28" s="18" t="s">
        <v>27</v>
      </c>
      <c r="C28" s="17"/>
      <c r="D28" s="17"/>
      <c r="E28" s="17"/>
      <c r="F28" s="18" t="s">
        <v>38</v>
      </c>
      <c r="G28" s="18" t="s">
        <v>47</v>
      </c>
      <c r="H28" s="18" t="s">
        <v>48</v>
      </c>
      <c r="I28" s="18" t="s">
        <v>205</v>
      </c>
      <c r="J28" s="180" t="s">
        <v>206</v>
      </c>
      <c r="M28" s="113" t="s">
        <v>145</v>
      </c>
      <c r="N28" s="87">
        <v>3000</v>
      </c>
      <c r="O28" s="45">
        <v>1</v>
      </c>
      <c r="P28" s="43">
        <f>N28*O28/SUM($O$18,$P$18)</f>
        <v>60</v>
      </c>
      <c r="Q28" s="37">
        <v>20</v>
      </c>
      <c r="R28" s="45">
        <v>0.25</v>
      </c>
      <c r="S28" s="43">
        <f>IFERROR((N28-(R28*N28))/Q28+(N28+N28*R28)/2*(Inputs!$F$28)*O28,0)</f>
        <v>243.75</v>
      </c>
      <c r="T28" s="43">
        <f>S28/SUM($O$18:$P$18)</f>
        <v>4.875</v>
      </c>
    </row>
    <row r="29" spans="1:22" ht="15.95" customHeight="1">
      <c r="A29" s="16"/>
      <c r="B29" s="69"/>
      <c r="C29" s="20" t="s">
        <v>56</v>
      </c>
      <c r="D29" s="20"/>
      <c r="E29" s="20"/>
      <c r="F29" s="51" t="s">
        <v>57</v>
      </c>
      <c r="G29" s="31">
        <v>0.01</v>
      </c>
      <c r="H29" s="2"/>
      <c r="I29" s="84">
        <f>G29*I6</f>
        <v>30.305305799999996</v>
      </c>
      <c r="J29" s="54">
        <f>G29*J6</f>
        <v>26.666887499999998</v>
      </c>
      <c r="M29" s="168" t="s">
        <v>1</v>
      </c>
      <c r="N29" s="111">
        <f>SUM(N26:N28)</f>
        <v>20500</v>
      </c>
      <c r="O29" s="111"/>
      <c r="P29" s="111">
        <f>SUM(P26:P28)</f>
        <v>360</v>
      </c>
      <c r="Q29" s="110"/>
      <c r="R29" s="110"/>
      <c r="S29" s="111">
        <f>SUM(S26:S28)</f>
        <v>1400</v>
      </c>
      <c r="T29" s="111">
        <f>SUM(T26:T28)</f>
        <v>28</v>
      </c>
    </row>
    <row r="30" spans="1:22" ht="15.95" customHeight="1">
      <c r="A30" s="16"/>
      <c r="B30" s="126" t="s">
        <v>16</v>
      </c>
      <c r="C30" s="20" t="s">
        <v>21</v>
      </c>
      <c r="D30" s="20"/>
      <c r="E30" s="20"/>
      <c r="F30" s="51"/>
      <c r="G30" s="20"/>
      <c r="H30" s="20"/>
      <c r="I30" s="54">
        <f>T42</f>
        <v>12.25</v>
      </c>
      <c r="J30" s="65">
        <f>T42</f>
        <v>12.25</v>
      </c>
    </row>
    <row r="31" spans="1:22" ht="15.95" customHeight="1">
      <c r="A31" s="16"/>
      <c r="B31" s="126"/>
      <c r="C31" s="20" t="s">
        <v>20</v>
      </c>
      <c r="D31" s="20"/>
      <c r="E31" s="20"/>
      <c r="F31" s="51"/>
      <c r="G31" s="20"/>
      <c r="H31" s="20"/>
      <c r="I31" s="54">
        <f>T46</f>
        <v>15.75</v>
      </c>
      <c r="J31" s="65">
        <f>T46</f>
        <v>15.75</v>
      </c>
    </row>
    <row r="32" spans="1:22" ht="15.95" customHeight="1">
      <c r="A32" s="21"/>
      <c r="B32" s="20"/>
      <c r="C32" s="20" t="s">
        <v>54</v>
      </c>
      <c r="D32" s="20"/>
      <c r="E32" s="20"/>
      <c r="F32" s="51"/>
      <c r="G32" s="20"/>
      <c r="H32" s="20"/>
      <c r="I32" s="29">
        <f>P29*(Inputs!F29+Inputs!F30)</f>
        <v>3.492</v>
      </c>
      <c r="J32" s="30">
        <f>P29*(Inputs!F29+Inputs!F30)</f>
        <v>3.492</v>
      </c>
    </row>
    <row r="33" spans="1:23" ht="15.95" customHeight="1">
      <c r="A33" s="16"/>
      <c r="B33" s="20"/>
      <c r="C33" s="20"/>
      <c r="D33" s="20"/>
      <c r="E33" s="20"/>
      <c r="F33" s="20"/>
      <c r="G33" s="20"/>
      <c r="H33" s="55" t="s">
        <v>29</v>
      </c>
      <c r="I33" s="81">
        <f>SUM(I29:I32)</f>
        <v>61.797305799999997</v>
      </c>
      <c r="J33" s="56">
        <f>SUM(J29:J32)</f>
        <v>58.158887499999999</v>
      </c>
    </row>
    <row r="34" spans="1:23" ht="15.95" customHeight="1">
      <c r="A34" s="16"/>
      <c r="B34" s="20"/>
      <c r="C34" s="20"/>
      <c r="D34" s="20"/>
      <c r="E34" s="20"/>
      <c r="F34" s="20"/>
      <c r="G34" s="20"/>
      <c r="H34" s="20"/>
      <c r="I34" s="20"/>
      <c r="J34" s="66"/>
    </row>
    <row r="35" spans="1:23" ht="15.95" customHeight="1">
      <c r="A35" s="16"/>
      <c r="B35" s="69"/>
      <c r="C35" s="20"/>
      <c r="D35" s="20"/>
      <c r="E35" s="20"/>
      <c r="F35" s="20"/>
      <c r="G35" s="20"/>
      <c r="H35" s="67" t="s">
        <v>318</v>
      </c>
      <c r="I35" s="63">
        <f>I36-SUM(I31,I30,I29,I18)</f>
        <v>3018.6323908513309</v>
      </c>
      <c r="J35" s="63">
        <f>J36-SUM(J31,J30,J29,J18)</f>
        <v>2685.5511738452228</v>
      </c>
      <c r="M35" s="50"/>
      <c r="N35" s="36"/>
      <c r="O35" s="36"/>
      <c r="P35" s="36"/>
    </row>
    <row r="36" spans="1:23" ht="15.95" customHeight="1">
      <c r="A36" s="16"/>
      <c r="B36" s="14"/>
      <c r="C36" s="14"/>
      <c r="D36" s="14"/>
      <c r="E36" s="14"/>
      <c r="F36" s="14"/>
      <c r="G36" s="14"/>
      <c r="H36" s="215" t="s">
        <v>30</v>
      </c>
      <c r="I36" s="219">
        <f>I26+I33</f>
        <v>3152.7009611513308</v>
      </c>
      <c r="J36" s="216">
        <f>J26+J33</f>
        <v>2806.8852800952227</v>
      </c>
      <c r="M36" s="36"/>
      <c r="N36" s="36"/>
      <c r="O36" s="36"/>
      <c r="P36" s="36"/>
    </row>
    <row r="37" spans="1:23" ht="15.95" customHeight="1">
      <c r="A37" s="16"/>
      <c r="B37" s="208" t="s">
        <v>264</v>
      </c>
      <c r="C37" s="153"/>
      <c r="D37" s="153"/>
      <c r="E37" s="153"/>
      <c r="F37" s="153"/>
      <c r="G37" s="153"/>
      <c r="H37" s="153"/>
      <c r="I37" s="209">
        <f>I6-I35</f>
        <v>11.898189148668735</v>
      </c>
      <c r="J37" s="209">
        <f>J6-J35</f>
        <v>-18.86242384522302</v>
      </c>
      <c r="M37" s="36"/>
      <c r="N37" s="36"/>
      <c r="O37" s="36"/>
    </row>
    <row r="38" spans="1:23" ht="15.95" customHeight="1">
      <c r="A38" s="210"/>
      <c r="B38" s="119" t="s">
        <v>191</v>
      </c>
      <c r="C38" s="2"/>
      <c r="D38" s="2"/>
      <c r="E38" s="69"/>
      <c r="F38" s="20"/>
      <c r="G38" s="20"/>
      <c r="H38" s="20"/>
      <c r="I38" s="56">
        <f>I6-I26</f>
        <v>-60.373075351331408</v>
      </c>
      <c r="J38" s="56">
        <f>J6-J26</f>
        <v>-82.037642595222678</v>
      </c>
      <c r="M38" s="36"/>
      <c r="N38" s="36"/>
      <c r="O38" s="36"/>
      <c r="W38" s="210"/>
    </row>
    <row r="39" spans="1:23" ht="15.95" customHeight="1">
      <c r="A39" s="210"/>
      <c r="B39" s="218" t="s">
        <v>192</v>
      </c>
      <c r="C39" s="195"/>
      <c r="D39" s="195"/>
      <c r="E39" s="128"/>
      <c r="F39" s="14"/>
      <c r="G39" s="14"/>
      <c r="H39" s="14"/>
      <c r="I39" s="129">
        <f>I6-I36</f>
        <v>-122.17038115133118</v>
      </c>
      <c r="J39" s="129">
        <f>J6-J36</f>
        <v>-140.1965300952229</v>
      </c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</row>
    <row r="40" spans="1:23" s="210" customFormat="1" ht="15.95" customHeight="1">
      <c r="A40" s="16"/>
      <c r="B40" s="244" t="s">
        <v>336</v>
      </c>
      <c r="C40" s="245"/>
      <c r="D40" s="245"/>
      <c r="E40" s="18"/>
      <c r="F40" s="17"/>
      <c r="G40" s="17"/>
      <c r="H40" s="17"/>
      <c r="I40" s="246">
        <f>I35/($G$3*100)</f>
        <v>3.6812590132333307</v>
      </c>
      <c r="J40" s="246">
        <f>J35/(G4*100)</f>
        <v>3.5807348984602969</v>
      </c>
      <c r="K40" s="13"/>
      <c r="W40" s="13"/>
    </row>
    <row r="41" spans="1:23" ht="15.95" customHeight="1">
      <c r="A41" s="16"/>
      <c r="B41" s="210"/>
      <c r="C41" s="210" t="s">
        <v>319</v>
      </c>
      <c r="D41" s="210"/>
      <c r="E41" s="210"/>
      <c r="F41" s="210"/>
      <c r="G41" s="210"/>
      <c r="H41" s="210"/>
      <c r="I41" s="210"/>
      <c r="J41" s="210"/>
      <c r="K41" s="210"/>
      <c r="T41" s="217" t="s">
        <v>107</v>
      </c>
    </row>
    <row r="42" spans="1:23" ht="15.95" customHeight="1">
      <c r="A42" s="16"/>
      <c r="B42" s="20"/>
      <c r="C42" s="20"/>
      <c r="D42" s="20"/>
      <c r="E42" s="20"/>
      <c r="F42" s="20"/>
      <c r="G42" s="20"/>
      <c r="H42" s="20"/>
      <c r="I42" s="24"/>
      <c r="T42" s="222">
        <f>((N26-(R26*N26))/Q26+(N27-(R27*N27))/Q27+(N28-(R28*N28))/Q28)/SUM($O$18:$P$18)</f>
        <v>12.25</v>
      </c>
    </row>
    <row r="43" spans="1:23" ht="15.95" customHeight="1">
      <c r="A43" s="16"/>
      <c r="B43" s="157" t="s">
        <v>349</v>
      </c>
      <c r="C43" s="173"/>
      <c r="D43" s="158"/>
      <c r="E43" s="158"/>
      <c r="F43" s="158"/>
      <c r="G43" s="158"/>
      <c r="H43" s="158"/>
      <c r="I43" s="159"/>
      <c r="J43" s="158"/>
      <c r="K43" s="107"/>
      <c r="T43" s="217"/>
    </row>
    <row r="44" spans="1:23" ht="15" customHeight="1">
      <c r="A44" s="16"/>
      <c r="B44" s="160"/>
      <c r="C44" s="298" t="s">
        <v>147</v>
      </c>
      <c r="D44" s="298"/>
      <c r="E44" s="298"/>
      <c r="F44" s="298"/>
      <c r="G44" s="298"/>
      <c r="H44" s="298"/>
      <c r="I44" s="298"/>
      <c r="J44" s="298"/>
      <c r="K44" s="298"/>
      <c r="T44" s="217"/>
    </row>
    <row r="45" spans="1:23" ht="17.25">
      <c r="B45" s="291"/>
      <c r="C45" s="303" t="s">
        <v>207</v>
      </c>
      <c r="D45" s="161"/>
      <c r="E45" s="181">
        <f>H45*0.85</f>
        <v>6.6724999999999994</v>
      </c>
      <c r="F45" s="181">
        <f>H45*0.9</f>
        <v>7.0649999999999995</v>
      </c>
      <c r="G45" s="181">
        <f>H45*0.95</f>
        <v>7.4574999999999996</v>
      </c>
      <c r="H45" s="181">
        <f>AVERAGE(G3:G4)</f>
        <v>7.85</v>
      </c>
      <c r="I45" s="182">
        <f>H45*1.05</f>
        <v>8.2424999999999997</v>
      </c>
      <c r="J45" s="181">
        <f>H45*1.1</f>
        <v>8.6349999999999998</v>
      </c>
      <c r="K45" s="181">
        <f>H45*1.15</f>
        <v>9.0274999999999981</v>
      </c>
      <c r="T45" s="217" t="s">
        <v>108</v>
      </c>
    </row>
    <row r="46" spans="1:23" ht="17.25">
      <c r="B46" s="291"/>
      <c r="C46" s="303"/>
      <c r="D46" s="78">
        <f>D49*0.7</f>
        <v>256.36099999999999</v>
      </c>
      <c r="E46" s="73">
        <f t="shared" ref="E46:K52" si="2">E$45*$D46-(AVERAGE($I$35:$J$35)-AVERAGE(SUM($I$11:$I$15),SUM($J$11:$J$15))+$R$9*(E$45-AVERAGE($G$9:$G$10))-(SUM($I$25:$J$25,$I$18:$J$18)/2)+E$45*$D46*$G$18+((AVERAGE($I$35:$J$35)-(SUM($I$25:$J$25,$I$18:$J$18)/2)+E$45*$D46*$G$18)*$G$25*($O$14/365)))</f>
        <v>-1029.3836021066195</v>
      </c>
      <c r="F46" s="73">
        <f t="shared" si="2"/>
        <v>-959.03523533636167</v>
      </c>
      <c r="G46" s="73">
        <f t="shared" si="2"/>
        <v>-888.68686856610361</v>
      </c>
      <c r="H46" s="73">
        <f t="shared" si="2"/>
        <v>-818.33850179584533</v>
      </c>
      <c r="I46" s="73">
        <f t="shared" si="2"/>
        <v>-747.99013502558728</v>
      </c>
      <c r="J46" s="73">
        <f t="shared" si="2"/>
        <v>-677.64176825532877</v>
      </c>
      <c r="K46" s="73">
        <f t="shared" si="2"/>
        <v>-607.29340148507117</v>
      </c>
      <c r="T46" s="222">
        <f>T29-T42</f>
        <v>15.75</v>
      </c>
    </row>
    <row r="47" spans="1:23" ht="17.25">
      <c r="B47" s="291"/>
      <c r="C47" s="303"/>
      <c r="D47" s="78">
        <f>D49*0.8</f>
        <v>292.98400000000004</v>
      </c>
      <c r="E47" s="73">
        <f t="shared" si="2"/>
        <v>-791.27142472680748</v>
      </c>
      <c r="F47" s="73">
        <f t="shared" si="2"/>
        <v>-706.91645928714888</v>
      </c>
      <c r="G47" s="73">
        <f t="shared" si="2"/>
        <v>-622.56149384749006</v>
      </c>
      <c r="H47" s="73">
        <f t="shared" si="2"/>
        <v>-538.20652840783123</v>
      </c>
      <c r="I47" s="73">
        <f t="shared" si="2"/>
        <v>-453.85156296817195</v>
      </c>
      <c r="J47" s="73">
        <f t="shared" si="2"/>
        <v>-369.49659752851312</v>
      </c>
      <c r="K47" s="73">
        <f t="shared" si="2"/>
        <v>-285.1416320888552</v>
      </c>
    </row>
    <row r="48" spans="1:23" ht="17.25">
      <c r="B48" s="291"/>
      <c r="C48" s="303"/>
      <c r="D48" s="78">
        <f>D49*0.9</f>
        <v>329.60700000000003</v>
      </c>
      <c r="E48" s="73">
        <f t="shared" si="2"/>
        <v>-553.15924734699593</v>
      </c>
      <c r="F48" s="73">
        <f t="shared" si="2"/>
        <v>-454.79768323793678</v>
      </c>
      <c r="G48" s="73">
        <f t="shared" si="2"/>
        <v>-356.43611912887718</v>
      </c>
      <c r="H48" s="73">
        <f t="shared" si="2"/>
        <v>-258.07455501981758</v>
      </c>
      <c r="I48" s="73">
        <f t="shared" si="2"/>
        <v>-159.71299091075798</v>
      </c>
      <c r="J48" s="73">
        <f t="shared" si="2"/>
        <v>-61.351426801698381</v>
      </c>
      <c r="K48" s="73">
        <f t="shared" si="2"/>
        <v>37.010137307360765</v>
      </c>
    </row>
    <row r="49" spans="2:11" ht="17.25">
      <c r="B49" s="291"/>
      <c r="C49" s="303"/>
      <c r="D49" s="79">
        <f>AVERAGE(H3,H4)</f>
        <v>366.23</v>
      </c>
      <c r="E49" s="73">
        <f t="shared" si="2"/>
        <v>-315.0470699671846</v>
      </c>
      <c r="F49" s="73">
        <f t="shared" si="2"/>
        <v>-202.67890718872468</v>
      </c>
      <c r="G49" s="73">
        <f t="shared" si="2"/>
        <v>-90.310744410264306</v>
      </c>
      <c r="H49" s="77">
        <f>H$45*$D49-(AVERAGE($I$35:$J$35)-AVERAGE(SUM($I$11:$I$15),SUM($J$11:$J$15))+$R$9*(H$45-AVERAGE($G$9:$G$10))-(SUM($I$25:$J$25,$I$18:$J$18)/2)+H$45*$D49*$G$18+((AVERAGE($I$35:$J$35)-(SUM($I$25:$J$25,$I$18:$J$18)/2)+H$45*$D49*$G$18)*$G$25*($O$14/365)))</f>
        <v>22.057418368195613</v>
      </c>
      <c r="I49" s="85">
        <f t="shared" si="2"/>
        <v>134.42558114665599</v>
      </c>
      <c r="J49" s="73">
        <f t="shared" si="2"/>
        <v>246.79374392511681</v>
      </c>
      <c r="K49" s="73">
        <f t="shared" si="2"/>
        <v>359.16190670357582</v>
      </c>
    </row>
    <row r="50" spans="2:11" ht="17.25">
      <c r="B50" s="291"/>
      <c r="C50" s="303"/>
      <c r="D50" s="78">
        <f>D49*1.1</f>
        <v>402.85300000000007</v>
      </c>
      <c r="E50" s="73">
        <f t="shared" si="2"/>
        <v>-76.93489258737236</v>
      </c>
      <c r="F50" s="73">
        <f t="shared" si="2"/>
        <v>49.439868860487877</v>
      </c>
      <c r="G50" s="73">
        <f t="shared" si="2"/>
        <v>175.81463030834948</v>
      </c>
      <c r="H50" s="73">
        <f t="shared" si="2"/>
        <v>302.18939175620972</v>
      </c>
      <c r="I50" s="73">
        <f t="shared" si="2"/>
        <v>428.56415320407132</v>
      </c>
      <c r="J50" s="73">
        <f t="shared" si="2"/>
        <v>554.93891465193201</v>
      </c>
      <c r="K50" s="73">
        <f t="shared" si="2"/>
        <v>681.31367609979225</v>
      </c>
    </row>
    <row r="51" spans="2:11" ht="17.25">
      <c r="B51" s="291"/>
      <c r="C51" s="303"/>
      <c r="D51" s="78">
        <f>D49*1.2</f>
        <v>439.476</v>
      </c>
      <c r="E51" s="73">
        <f t="shared" si="2"/>
        <v>161.17728479243851</v>
      </c>
      <c r="F51" s="73">
        <f t="shared" si="2"/>
        <v>301.55864490969998</v>
      </c>
      <c r="G51" s="73">
        <f t="shared" si="2"/>
        <v>441.9400050269619</v>
      </c>
      <c r="H51" s="73">
        <f t="shared" si="2"/>
        <v>582.32136514422291</v>
      </c>
      <c r="I51" s="73">
        <f t="shared" si="2"/>
        <v>722.70272526148483</v>
      </c>
      <c r="J51" s="73">
        <f t="shared" si="2"/>
        <v>863.08408537874629</v>
      </c>
      <c r="K51" s="73">
        <f t="shared" si="2"/>
        <v>1003.4654454960073</v>
      </c>
    </row>
    <row r="52" spans="2:11" ht="17.25">
      <c r="B52" s="292"/>
      <c r="C52" s="304"/>
      <c r="D52" s="163">
        <f>D49*1.3</f>
        <v>476.09900000000005</v>
      </c>
      <c r="E52" s="73">
        <f t="shared" si="2"/>
        <v>399.28946217225075</v>
      </c>
      <c r="F52" s="73">
        <f t="shared" si="2"/>
        <v>553.67742095891253</v>
      </c>
      <c r="G52" s="73">
        <f t="shared" si="2"/>
        <v>708.06537974557523</v>
      </c>
      <c r="H52" s="73">
        <f t="shared" si="2"/>
        <v>862.45333853223747</v>
      </c>
      <c r="I52" s="73">
        <f t="shared" si="2"/>
        <v>1016.8412973188997</v>
      </c>
      <c r="J52" s="73">
        <f t="shared" si="2"/>
        <v>1171.2292561055624</v>
      </c>
      <c r="K52" s="73">
        <f t="shared" si="2"/>
        <v>1325.6172148922233</v>
      </c>
    </row>
    <row r="53" spans="2:11" ht="16.5">
      <c r="B53" s="74"/>
      <c r="C53" s="76"/>
      <c r="D53" s="76"/>
      <c r="E53" s="75"/>
      <c r="F53" s="75"/>
      <c r="G53" s="75"/>
      <c r="H53" s="75"/>
      <c r="I53" s="75"/>
      <c r="J53" s="75"/>
      <c r="K53" s="75"/>
    </row>
    <row r="54" spans="2:11" ht="16.5">
      <c r="B54" s="75"/>
      <c r="C54" s="76"/>
      <c r="D54" s="76"/>
      <c r="E54" s="75"/>
      <c r="F54" s="75"/>
      <c r="G54" s="75"/>
      <c r="H54" s="75"/>
      <c r="I54" s="75"/>
      <c r="J54" s="75"/>
      <c r="K54" s="75"/>
    </row>
    <row r="55" spans="2:11" ht="16.5">
      <c r="B55" s="75"/>
      <c r="C55" s="76"/>
      <c r="D55" s="76"/>
      <c r="E55" s="75"/>
      <c r="F55" s="75"/>
      <c r="G55" s="75"/>
      <c r="H55" s="75"/>
      <c r="I55" s="75"/>
      <c r="J55" s="75"/>
      <c r="K55" s="75"/>
    </row>
    <row r="56" spans="2:11" ht="16.5">
      <c r="B56" s="75"/>
      <c r="K56" s="75"/>
    </row>
    <row r="57" spans="2:11"/>
  </sheetData>
  <sheetProtection sheet="1" objects="1" scenarios="1"/>
  <protectedRanges>
    <protectedRange sqref="G3:H4 I5:J5 G9:H10 G16 G18 I17:J17 I19:J19 G21 I22:J24 G29 M3:N7 O14:P14 O16:P19 R14:U19 N26:O28 M28 Q26:R28" name="Grey cells"/>
  </protectedRanges>
  <mergeCells count="20">
    <mergeCell ref="P12:P13"/>
    <mergeCell ref="O12:O13"/>
    <mergeCell ref="N12:N13"/>
    <mergeCell ref="M12:M13"/>
    <mergeCell ref="B45:B52"/>
    <mergeCell ref="C44:K44"/>
    <mergeCell ref="O24:O25"/>
    <mergeCell ref="N24:N25"/>
    <mergeCell ref="M24:M25"/>
    <mergeCell ref="C45:C52"/>
    <mergeCell ref="T24:T25"/>
    <mergeCell ref="S24:S25"/>
    <mergeCell ref="R24:R25"/>
    <mergeCell ref="Q24:Q25"/>
    <mergeCell ref="P24:P25"/>
    <mergeCell ref="U12:U13"/>
    <mergeCell ref="T12:T13"/>
    <mergeCell ref="S12:S13"/>
    <mergeCell ref="R12:R13"/>
    <mergeCell ref="V12:V13"/>
  </mergeCells>
  <pageMargins left="0.75" right="0.75" top="1" bottom="1" header="0.5" footer="0.5"/>
  <pageSetup scale="6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63DA6C8-362C-46BA-8ABF-F231142F9621}">
          <x14:formula1>
            <xm:f>Inputs!$B$10:$B$21</xm:f>
          </x14:formula1>
          <xm:sqref>M3:M7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711B-67E4-48A9-A0E8-553C9EC5C077}">
  <sheetPr>
    <pageSetUpPr fitToPage="1"/>
  </sheetPr>
  <dimension ref="A1:W57"/>
  <sheetViews>
    <sheetView showGridLines="0" workbookViewId="0"/>
  </sheetViews>
  <sheetFormatPr defaultColWidth="0" defaultRowHeight="15" zeroHeight="1"/>
  <cols>
    <col min="1" max="1" width="3.33203125" style="13" customWidth="1"/>
    <col min="2" max="2" width="2.6640625" style="13" customWidth="1"/>
    <col min="3" max="3" width="13" style="13" customWidth="1"/>
    <col min="4" max="4" width="8.88671875" style="13" customWidth="1"/>
    <col min="5" max="5" width="8.88671875" style="13" bestFit="1" customWidth="1"/>
    <col min="6" max="6" width="7.5546875" style="13" customWidth="1"/>
    <col min="7" max="7" width="9" style="13" customWidth="1"/>
    <col min="8" max="8" width="11.21875" style="13" customWidth="1"/>
    <col min="9" max="9" width="10.88671875" style="13" customWidth="1"/>
    <col min="10" max="10" width="9.109375" style="13" bestFit="1" customWidth="1"/>
    <col min="11" max="11" width="6.88671875" style="13" bestFit="1" customWidth="1"/>
    <col min="12" max="12" width="2" style="13" customWidth="1"/>
    <col min="13" max="13" width="21" style="13" customWidth="1"/>
    <col min="14" max="14" width="11.88671875" style="13" customWidth="1"/>
    <col min="15" max="15" width="12.5546875" style="13" customWidth="1"/>
    <col min="16" max="16" width="9.77734375" style="13" customWidth="1"/>
    <col min="17" max="17" width="10.88671875" style="13" customWidth="1"/>
    <col min="18" max="18" width="13.44140625" style="13" customWidth="1"/>
    <col min="19" max="19" width="9.77734375" style="13" bestFit="1" customWidth="1"/>
    <col min="20" max="20" width="9.5546875" style="13" customWidth="1"/>
    <col min="21" max="21" width="8.44140625" style="13" customWidth="1"/>
    <col min="22" max="22" width="7.77734375" style="13" customWidth="1"/>
    <col min="23" max="23" width="3.33203125" style="13" customWidth="1"/>
    <col min="24" max="16384" width="8.88671875" style="13" hidden="1"/>
  </cols>
  <sheetData>
    <row r="1" spans="1:22" ht="20.100000000000001" customHeight="1">
      <c r="B1" s="150" t="s">
        <v>168</v>
      </c>
      <c r="C1" s="151"/>
      <c r="D1" s="152"/>
      <c r="E1" s="152"/>
      <c r="F1" s="152"/>
      <c r="G1" s="152"/>
      <c r="H1" s="152"/>
      <c r="I1" s="152"/>
      <c r="J1" s="152"/>
      <c r="M1" s="106" t="s">
        <v>133</v>
      </c>
      <c r="N1" s="106"/>
      <c r="O1" s="106"/>
      <c r="P1" s="156"/>
      <c r="Q1" s="107"/>
      <c r="R1" s="107"/>
      <c r="S1" s="107"/>
    </row>
    <row r="2" spans="1:22" ht="45">
      <c r="B2" s="18" t="s">
        <v>25</v>
      </c>
      <c r="C2" s="17"/>
      <c r="D2" s="17"/>
      <c r="E2" s="17"/>
      <c r="F2" s="18" t="s">
        <v>38</v>
      </c>
      <c r="G2" s="18" t="s">
        <v>47</v>
      </c>
      <c r="H2" s="18" t="s">
        <v>48</v>
      </c>
      <c r="I2" s="179" t="s">
        <v>127</v>
      </c>
      <c r="J2" s="179" t="s">
        <v>128</v>
      </c>
      <c r="M2" s="164" t="s">
        <v>58</v>
      </c>
      <c r="N2" s="164" t="s">
        <v>346</v>
      </c>
      <c r="O2" s="164" t="s">
        <v>76</v>
      </c>
      <c r="P2" s="164" t="s">
        <v>351</v>
      </c>
      <c r="Q2" s="164" t="s">
        <v>352</v>
      </c>
      <c r="R2" s="164" t="s">
        <v>151</v>
      </c>
      <c r="S2" s="164" t="s">
        <v>150</v>
      </c>
    </row>
    <row r="3" spans="1:22" ht="15.95" customHeight="1">
      <c r="B3" s="120" t="s">
        <v>10</v>
      </c>
      <c r="C3" s="20" t="s">
        <v>129</v>
      </c>
      <c r="D3" s="20"/>
      <c r="E3" s="20"/>
      <c r="F3" s="51" t="s">
        <v>50</v>
      </c>
      <c r="G3" s="52">
        <v>7.9</v>
      </c>
      <c r="H3" s="53">
        <v>364.23018336541492</v>
      </c>
      <c r="I3" s="54">
        <f>G3*H3</f>
        <v>2877.4184485867781</v>
      </c>
      <c r="J3" s="54"/>
      <c r="M3" s="249" t="s">
        <v>3</v>
      </c>
      <c r="N3" s="248"/>
      <c r="O3" s="248"/>
      <c r="P3" s="248"/>
      <c r="Q3" s="27">
        <f>I11/AVERAGE($O$15:$P$15)</f>
        <v>0.88916666666666666</v>
      </c>
      <c r="R3" s="248"/>
      <c r="S3" s="250">
        <f>I11*SUM($O$18:$P$18)</f>
        <v>5335</v>
      </c>
    </row>
    <row r="4" spans="1:22" ht="15.95" customHeight="1">
      <c r="A4" s="16"/>
      <c r="B4" s="120" t="s">
        <v>11</v>
      </c>
      <c r="C4" s="20" t="s">
        <v>130</v>
      </c>
      <c r="D4" s="20"/>
      <c r="E4" s="20"/>
      <c r="F4" s="51" t="s">
        <v>50</v>
      </c>
      <c r="G4" s="52">
        <v>7.3</v>
      </c>
      <c r="H4" s="53">
        <v>350.07065878074314</v>
      </c>
      <c r="I4" s="54"/>
      <c r="J4" s="54">
        <f>G4*H4</f>
        <v>2555.515809099425</v>
      </c>
      <c r="M4" s="37" t="s">
        <v>22</v>
      </c>
      <c r="N4" s="251">
        <v>0</v>
      </c>
      <c r="O4" s="38">
        <f>P4/$P$15/(AVERAGE($G$3,$G$4,$G$9,$G$10)*100)</f>
        <v>0</v>
      </c>
      <c r="P4" s="39">
        <f>N4*$P$15/VLOOKUP(M4,Inputs!$B$11:$F$21,4,FALSE)</f>
        <v>0</v>
      </c>
      <c r="Q4" s="27">
        <f t="shared" ref="Q4:Q6" si="0">I12/AVERAGE($O$15:$P$15)</f>
        <v>0</v>
      </c>
      <c r="R4" s="40">
        <f>P4*($O$18+$P$18)</f>
        <v>0</v>
      </c>
      <c r="S4" s="27">
        <f t="shared" ref="S4:S6" si="1">I12*SUM($O$18:$P$18)</f>
        <v>0</v>
      </c>
    </row>
    <row r="5" spans="1:22" ht="15.95" customHeight="1">
      <c r="A5" s="16"/>
      <c r="B5" s="120"/>
      <c r="C5" s="20" t="s">
        <v>5</v>
      </c>
      <c r="D5" s="20"/>
      <c r="E5" s="20"/>
      <c r="F5" s="51"/>
      <c r="G5" s="20"/>
      <c r="H5" s="20"/>
      <c r="I5" s="80"/>
      <c r="J5" s="28"/>
      <c r="K5" s="15"/>
      <c r="L5" s="15"/>
      <c r="M5" s="37" t="s">
        <v>353</v>
      </c>
      <c r="N5" s="251">
        <v>0</v>
      </c>
      <c r="O5" s="38">
        <f t="shared" ref="O5:O8" si="2">P5/$P$15/(AVERAGE($G$3,$G$4,$G$9,$G$10)*100)</f>
        <v>0</v>
      </c>
      <c r="P5" s="39">
        <f>N5*$P$15/VLOOKUP(M5,Inputs!$B$11:$F$21,4,FALSE)</f>
        <v>0</v>
      </c>
      <c r="Q5" s="27">
        <f t="shared" si="0"/>
        <v>0</v>
      </c>
      <c r="R5" s="40">
        <f t="shared" ref="R5:R8" si="3">P5*($O$18+$P$18)</f>
        <v>0</v>
      </c>
      <c r="S5" s="27">
        <f t="shared" si="1"/>
        <v>0</v>
      </c>
    </row>
    <row r="6" spans="1:22" ht="15.95" customHeight="1">
      <c r="A6" s="21"/>
      <c r="B6" s="20"/>
      <c r="C6" s="69"/>
      <c r="D6" s="69"/>
      <c r="E6" s="69"/>
      <c r="F6" s="51"/>
      <c r="G6" s="20"/>
      <c r="H6" s="55" t="s">
        <v>26</v>
      </c>
      <c r="I6" s="81">
        <f>SUM(I3:I5)*(1-O17)</f>
        <v>2848.6442641009103</v>
      </c>
      <c r="J6" s="56">
        <f>SUM(J3:J5)*(1-P17)</f>
        <v>2529.9606510084309</v>
      </c>
      <c r="K6" s="22"/>
      <c r="L6" s="22"/>
      <c r="M6" s="37" t="s">
        <v>41</v>
      </c>
      <c r="N6" s="251">
        <v>5</v>
      </c>
      <c r="O6" s="38">
        <f t="shared" si="2"/>
        <v>8.544087491455913E-3</v>
      </c>
      <c r="P6" s="39">
        <f>N6*$P$15/VLOOKUP(M6,Inputs!$B$11:$F$21,4,FALSE)</f>
        <v>681.81818181818187</v>
      </c>
      <c r="Q6" s="27">
        <f t="shared" si="0"/>
        <v>0.49715909090909094</v>
      </c>
      <c r="R6" s="40">
        <f t="shared" si="3"/>
        <v>34090.909090909096</v>
      </c>
      <c r="S6" s="27">
        <f t="shared" si="1"/>
        <v>2982.9545454545455</v>
      </c>
    </row>
    <row r="7" spans="1:22" ht="15.95" customHeight="1">
      <c r="A7" s="21"/>
      <c r="B7" s="20"/>
      <c r="C7" s="69"/>
      <c r="D7" s="69"/>
      <c r="E7" s="69"/>
      <c r="F7" s="51"/>
      <c r="G7" s="20"/>
      <c r="H7" s="20"/>
      <c r="I7" s="20"/>
      <c r="J7" s="57"/>
      <c r="M7" s="37" t="s">
        <v>42</v>
      </c>
      <c r="N7" s="251">
        <v>0.05</v>
      </c>
      <c r="O7" s="38">
        <f t="shared" si="2"/>
        <v>7.6722418290624511E-5</v>
      </c>
      <c r="P7" s="39">
        <f>N7*$P$15/VLOOKUP(M7,Inputs!$B$11:$F$21,4,FALSE)</f>
        <v>6.1224489795918364</v>
      </c>
      <c r="Q7" s="27">
        <f>I16/AVERAGE($O$15:$P$15)</f>
        <v>0.12244897959183672</v>
      </c>
      <c r="R7" s="40">
        <f t="shared" si="3"/>
        <v>306.12244897959181</v>
      </c>
      <c r="S7" s="27">
        <f>I15*SUM($O$18:$P$18)</f>
        <v>39.795918367346935</v>
      </c>
    </row>
    <row r="8" spans="1:22" ht="15.95" customHeight="1">
      <c r="A8" s="21"/>
      <c r="B8" s="18" t="s">
        <v>24</v>
      </c>
      <c r="C8" s="17"/>
      <c r="D8" s="17"/>
      <c r="E8" s="17"/>
      <c r="F8" s="18"/>
      <c r="G8" s="18"/>
      <c r="H8" s="18"/>
      <c r="I8" s="18"/>
      <c r="J8" s="180"/>
      <c r="M8" s="37" t="s">
        <v>36</v>
      </c>
      <c r="N8" s="251">
        <v>0.2</v>
      </c>
      <c r="O8" s="38">
        <f t="shared" si="2"/>
        <v>3.0688967316249804E-4</v>
      </c>
      <c r="P8" s="39">
        <f>N8*$P$15/VLOOKUP(M8,Inputs!$B$11:$F$21,4,FALSE)</f>
        <v>24.489795918367346</v>
      </c>
      <c r="Q8" s="43">
        <f>I17/AVERAGE($O$15:$P$15)</f>
        <v>0.27500000000000002</v>
      </c>
      <c r="R8" s="40">
        <f t="shared" si="3"/>
        <v>1224.4897959183672</v>
      </c>
      <c r="S8" s="43">
        <f>I16*SUM($O$18:$P$18)</f>
        <v>734.69387755102036</v>
      </c>
    </row>
    <row r="9" spans="1:22" ht="15.95" customHeight="1">
      <c r="A9" s="21"/>
      <c r="B9" s="69"/>
      <c r="C9" s="20" t="s">
        <v>131</v>
      </c>
      <c r="D9" s="20"/>
      <c r="E9" s="20"/>
      <c r="F9" s="51" t="s">
        <v>50</v>
      </c>
      <c r="G9" s="52">
        <v>5.9</v>
      </c>
      <c r="H9" s="53">
        <v>440.15</v>
      </c>
      <c r="I9" s="54">
        <f>G9*H9</f>
        <v>2596.8850000000002</v>
      </c>
      <c r="J9" s="66"/>
      <c r="M9" s="32"/>
      <c r="N9" s="178"/>
      <c r="O9" s="109"/>
      <c r="P9" s="104" t="s">
        <v>157</v>
      </c>
      <c r="Q9" s="111">
        <f>SUM(Q3:Q8)</f>
        <v>1.7837747371675943</v>
      </c>
      <c r="R9" s="112"/>
      <c r="S9" s="111">
        <f>SUM(S3:S8)</f>
        <v>9092.4443413729132</v>
      </c>
    </row>
    <row r="10" spans="1:22" ht="15.95" customHeight="1">
      <c r="A10" s="21"/>
      <c r="B10" s="20"/>
      <c r="C10" s="20" t="s">
        <v>124</v>
      </c>
      <c r="D10" s="20"/>
      <c r="E10" s="20"/>
      <c r="F10" s="51" t="s">
        <v>50</v>
      </c>
      <c r="G10" s="52">
        <v>5.5</v>
      </c>
      <c r="H10" s="53">
        <v>417.41</v>
      </c>
      <c r="I10" s="54"/>
      <c r="J10" s="66">
        <f>G10*H10</f>
        <v>2295.7550000000001</v>
      </c>
      <c r="M10" s="49"/>
      <c r="N10" s="48"/>
      <c r="O10" s="48"/>
      <c r="P10" s="48"/>
      <c r="R10" s="222">
        <f>SUM(I11:I16)/(AVERAGE(G3:G4)-AVERAGE(G9:G10))</f>
        <v>95.709940435504379</v>
      </c>
    </row>
    <row r="11" spans="1:22" ht="15.95" customHeight="1">
      <c r="A11" s="16"/>
      <c r="B11" s="20"/>
      <c r="C11" s="20" t="s">
        <v>3</v>
      </c>
      <c r="D11" s="20"/>
      <c r="E11" s="20"/>
      <c r="F11" s="51" t="s">
        <v>327</v>
      </c>
      <c r="G11" s="223">
        <v>1</v>
      </c>
      <c r="H11" s="54">
        <f>Inputs!F3+Inputs!F4+Inputs!F5+SUMPRODUCT(Inputs!F6:F8,Inputs!F24:F26)</f>
        <v>106.7</v>
      </c>
      <c r="I11" s="54">
        <f>G11*H11</f>
        <v>106.7</v>
      </c>
      <c r="J11" s="54">
        <f>H11*G11</f>
        <v>106.7</v>
      </c>
      <c r="M11" s="48"/>
      <c r="N11" s="48"/>
      <c r="O11" s="48"/>
      <c r="P11" s="48"/>
    </row>
    <row r="12" spans="1:22" ht="15.95" customHeight="1">
      <c r="A12" s="16"/>
      <c r="B12" s="20"/>
      <c r="C12" s="20" t="str">
        <f>M4</f>
        <v>Mixed hay</v>
      </c>
      <c r="D12" s="20"/>
      <c r="E12" s="20"/>
      <c r="F12" s="51" t="str">
        <f>VLOOKUP(C12,Inputs!$B$10:$F$21,2,FALSE)</f>
        <v>ton</v>
      </c>
      <c r="G12" s="58"/>
      <c r="H12" s="54">
        <f>VLOOKUP(C12,Inputs!$B$10:$F$21,5,FALSE)</f>
        <v>90</v>
      </c>
      <c r="I12" s="54">
        <f>$H12*P4/VLOOKUP(C12,Inputs!$B$10:$F$21,3,FALSE)</f>
        <v>0</v>
      </c>
      <c r="J12" s="54">
        <f>I12</f>
        <v>0</v>
      </c>
      <c r="M12" s="106" t="s">
        <v>62</v>
      </c>
      <c r="N12" s="106"/>
      <c r="O12" s="106"/>
      <c r="P12" s="183"/>
      <c r="R12" s="106" t="s">
        <v>83</v>
      </c>
      <c r="S12" s="106"/>
      <c r="T12" s="106"/>
      <c r="U12" s="106"/>
      <c r="V12" s="106"/>
    </row>
    <row r="13" spans="1:22" ht="15.95" customHeight="1">
      <c r="A13" s="16"/>
      <c r="B13" s="20"/>
      <c r="C13" s="20" t="str">
        <f>M5</f>
        <v>Purchased corn</v>
      </c>
      <c r="D13" s="20"/>
      <c r="E13" s="20"/>
      <c r="F13" s="51" t="str">
        <f>VLOOKUP(C13,Inputs!$B$10:$F$21,2,FALSE)</f>
        <v>bushel</v>
      </c>
      <c r="G13" s="58"/>
      <c r="H13" s="54">
        <f>VLOOKUP(C13,Inputs!$B$10:$F$21,5,FALSE)</f>
        <v>5.25</v>
      </c>
      <c r="I13" s="54">
        <f>$H13*P5/VLOOKUP(C13,Inputs!$B$10:$F$21,3,FALSE)</f>
        <v>0</v>
      </c>
      <c r="J13" s="54">
        <f t="shared" ref="J13:J15" si="4">I13</f>
        <v>0</v>
      </c>
      <c r="M13" s="301"/>
      <c r="N13" s="290" t="s">
        <v>38</v>
      </c>
      <c r="O13" s="290" t="s">
        <v>136</v>
      </c>
      <c r="P13" s="290" t="s">
        <v>137</v>
      </c>
      <c r="R13" s="290" t="s">
        <v>82</v>
      </c>
      <c r="S13" s="290" t="s">
        <v>84</v>
      </c>
      <c r="T13" s="290" t="s">
        <v>208</v>
      </c>
      <c r="U13" s="290" t="s">
        <v>85</v>
      </c>
      <c r="V13" s="290" t="s">
        <v>86</v>
      </c>
    </row>
    <row r="14" spans="1:22" ht="15.95" customHeight="1">
      <c r="A14" s="16"/>
      <c r="B14" s="20"/>
      <c r="C14" s="20" t="str">
        <f>M6</f>
        <v>Dried distillers grains</v>
      </c>
      <c r="D14" s="20"/>
      <c r="E14" s="20"/>
      <c r="F14" s="51" t="str">
        <f>VLOOKUP(C14,Inputs!$B$10:$F$21,2,FALSE)</f>
        <v>ton</v>
      </c>
      <c r="G14" s="58"/>
      <c r="H14" s="54">
        <f>VLOOKUP(C14,Inputs!$B$10:$F$21,5,FALSE)</f>
        <v>175</v>
      </c>
      <c r="I14" s="54">
        <f>$H14*P6/VLOOKUP(C14,Inputs!$B$10:$F$21,3,FALSE)</f>
        <v>59.659090909090914</v>
      </c>
      <c r="J14" s="54">
        <f t="shared" si="4"/>
        <v>59.659090909090914</v>
      </c>
      <c r="M14" s="302"/>
      <c r="N14" s="274"/>
      <c r="O14" s="274"/>
      <c r="P14" s="274"/>
      <c r="R14" s="274"/>
      <c r="S14" s="274"/>
      <c r="T14" s="274"/>
      <c r="U14" s="274"/>
      <c r="V14" s="274"/>
    </row>
    <row r="15" spans="1:22" ht="15.95" customHeight="1">
      <c r="A15" s="16"/>
      <c r="B15" s="20"/>
      <c r="C15" s="20" t="str">
        <f>M7</f>
        <v>Limestone</v>
      </c>
      <c r="D15" s="20"/>
      <c r="E15" s="20"/>
      <c r="F15" s="51" t="str">
        <f>VLOOKUP(C15,Inputs!$B$10:$F$21,2,FALSE)</f>
        <v>cwt.</v>
      </c>
      <c r="G15" s="58"/>
      <c r="H15" s="54">
        <f>VLOOKUP(C15,Inputs!$B$10:$F$21,5,FALSE)</f>
        <v>13</v>
      </c>
      <c r="I15" s="54">
        <f>$H15*P7/VLOOKUP(C15,Inputs!$B$10:$F$21,3,FALSE)</f>
        <v>0.79591836734693866</v>
      </c>
      <c r="J15" s="54">
        <f t="shared" si="4"/>
        <v>0.79591836734693866</v>
      </c>
      <c r="M15" s="13" t="s">
        <v>138</v>
      </c>
      <c r="N15" s="4" t="s">
        <v>116</v>
      </c>
      <c r="O15" s="37">
        <v>120</v>
      </c>
      <c r="P15" s="37">
        <v>120</v>
      </c>
      <c r="R15" s="91" t="s">
        <v>175</v>
      </c>
      <c r="S15" s="44">
        <v>55</v>
      </c>
      <c r="T15" s="37">
        <v>0.75</v>
      </c>
      <c r="U15" s="37">
        <v>0</v>
      </c>
      <c r="V15" s="27">
        <f>S15*T15*U15</f>
        <v>0</v>
      </c>
    </row>
    <row r="16" spans="1:22" ht="15.95" customHeight="1">
      <c r="A16" s="16"/>
      <c r="B16" s="20"/>
      <c r="C16" s="20" t="str">
        <f>M8</f>
        <v>Salt and minerals</v>
      </c>
      <c r="D16" s="20"/>
      <c r="E16" s="20"/>
      <c r="F16" s="51" t="str">
        <f>VLOOKUP(C16,Inputs!$B$10:$F$21,2,FALSE)</f>
        <v>pound</v>
      </c>
      <c r="G16" s="58"/>
      <c r="H16" s="84">
        <f>VLOOKUP(C16,Inputs!$B$10:$F$21,5,FALSE)</f>
        <v>0.6</v>
      </c>
      <c r="I16" s="54">
        <f>$H16*P8/VLOOKUP(C16,Inputs!$B$10:$F$21,3,FALSE)</f>
        <v>14.693877551020407</v>
      </c>
      <c r="J16" s="54">
        <f>I16</f>
        <v>14.693877551020407</v>
      </c>
      <c r="M16" s="13" t="s">
        <v>139</v>
      </c>
      <c r="N16" s="4"/>
      <c r="O16" s="83">
        <f>(G3-G9)*100/O15</f>
        <v>1.6666666666666667</v>
      </c>
      <c r="P16" s="184">
        <f>(G4-G10)*100/P15</f>
        <v>1.4999999999999998</v>
      </c>
      <c r="R16" s="91" t="s">
        <v>146</v>
      </c>
      <c r="S16" s="44">
        <v>15</v>
      </c>
      <c r="T16" s="37"/>
      <c r="U16" s="37">
        <v>0</v>
      </c>
      <c r="V16" s="27">
        <f t="shared" ref="V16:V20" si="5">S16*T16*U16</f>
        <v>0</v>
      </c>
    </row>
    <row r="17" spans="1:22" ht="15.95" customHeight="1">
      <c r="A17" s="16"/>
      <c r="B17" s="20"/>
      <c r="C17" s="20" t="s">
        <v>12</v>
      </c>
      <c r="D17" s="20"/>
      <c r="E17" s="20"/>
      <c r="F17" s="51" t="s">
        <v>55</v>
      </c>
      <c r="G17" s="52">
        <v>1.5</v>
      </c>
      <c r="H17" s="54">
        <f>Inputs!F23</f>
        <v>22</v>
      </c>
      <c r="I17" s="54">
        <f>G17*H17</f>
        <v>33</v>
      </c>
      <c r="J17" s="54">
        <f>G17*H17</f>
        <v>33</v>
      </c>
      <c r="M17" s="13" t="s">
        <v>135</v>
      </c>
      <c r="N17" s="4" t="s">
        <v>120</v>
      </c>
      <c r="O17" s="45">
        <v>0.01</v>
      </c>
      <c r="P17" s="45">
        <v>0.01</v>
      </c>
      <c r="R17" s="91" t="s">
        <v>87</v>
      </c>
      <c r="S17" s="44">
        <v>32</v>
      </c>
      <c r="T17" s="37">
        <v>0.5</v>
      </c>
      <c r="U17" s="37">
        <v>30</v>
      </c>
      <c r="V17" s="102">
        <f t="shared" si="5"/>
        <v>480</v>
      </c>
    </row>
    <row r="18" spans="1:22" ht="15.95" customHeight="1">
      <c r="A18" s="16"/>
      <c r="B18" s="20"/>
      <c r="C18" s="20" t="s">
        <v>0</v>
      </c>
      <c r="D18" s="20"/>
      <c r="E18" s="20"/>
      <c r="F18" s="51"/>
      <c r="G18" s="20"/>
      <c r="H18" s="20"/>
      <c r="I18" s="53">
        <v>20</v>
      </c>
      <c r="J18" s="53">
        <v>20</v>
      </c>
      <c r="M18" s="13" t="s">
        <v>144</v>
      </c>
      <c r="N18" s="4" t="s">
        <v>116</v>
      </c>
      <c r="O18" s="37">
        <v>30</v>
      </c>
      <c r="P18" s="100">
        <v>20</v>
      </c>
      <c r="R18" s="91" t="s">
        <v>88</v>
      </c>
      <c r="S18" s="44">
        <v>20</v>
      </c>
      <c r="T18" s="37">
        <v>4</v>
      </c>
      <c r="U18" s="37">
        <v>2</v>
      </c>
      <c r="V18" s="103">
        <f t="shared" si="5"/>
        <v>160</v>
      </c>
    </row>
    <row r="19" spans="1:22" ht="15.95" customHeight="1">
      <c r="A19" s="16"/>
      <c r="B19" s="20"/>
      <c r="C19" s="20" t="s">
        <v>14</v>
      </c>
      <c r="D19" s="20"/>
      <c r="E19" s="20"/>
      <c r="F19" s="51" t="s">
        <v>81</v>
      </c>
      <c r="G19" s="252">
        <v>2.5000000000000001E-2</v>
      </c>
      <c r="H19" s="20"/>
      <c r="I19" s="54">
        <f>G19*I6</f>
        <v>71.216106602522757</v>
      </c>
      <c r="J19" s="54">
        <f>G19*J6</f>
        <v>63.249016275210778</v>
      </c>
      <c r="M19" s="32" t="s">
        <v>35</v>
      </c>
      <c r="N19" s="89" t="s">
        <v>99</v>
      </c>
      <c r="O19" s="87">
        <v>10</v>
      </c>
      <c r="P19" s="87">
        <v>10</v>
      </c>
      <c r="R19" s="91" t="s">
        <v>89</v>
      </c>
      <c r="S19" s="44">
        <v>12</v>
      </c>
      <c r="T19" s="37">
        <v>0.5</v>
      </c>
      <c r="U19" s="37">
        <v>105</v>
      </c>
      <c r="V19" s="102">
        <f t="shared" si="5"/>
        <v>630</v>
      </c>
    </row>
    <row r="20" spans="1:22" ht="15.95" customHeight="1">
      <c r="A20" s="16"/>
      <c r="B20" s="20"/>
      <c r="C20" s="20" t="s">
        <v>132</v>
      </c>
      <c r="D20" s="20"/>
      <c r="E20" s="20"/>
      <c r="F20" s="51"/>
      <c r="G20" s="59"/>
      <c r="H20" s="20"/>
      <c r="I20" s="53">
        <v>20</v>
      </c>
      <c r="J20" s="53">
        <v>20</v>
      </c>
      <c r="O20" s="27"/>
      <c r="P20" s="27"/>
      <c r="R20" s="37"/>
      <c r="S20" s="44"/>
      <c r="T20" s="37"/>
      <c r="U20" s="37"/>
      <c r="V20" s="105">
        <f t="shared" si="5"/>
        <v>0</v>
      </c>
    </row>
    <row r="21" spans="1:22" ht="15.95" customHeight="1">
      <c r="A21" s="16"/>
      <c r="B21" s="20"/>
      <c r="C21" s="20" t="s">
        <v>23</v>
      </c>
      <c r="D21" s="20"/>
      <c r="E21" s="20"/>
      <c r="F21" s="51"/>
      <c r="G21" s="20"/>
      <c r="H21" s="20"/>
      <c r="I21" s="54">
        <f>($V$21+O19*12)/SUM(O18,P18)</f>
        <v>27.8</v>
      </c>
      <c r="J21" s="54">
        <f>($V$21+P19*12)/SUM(P18,O18)</f>
        <v>27.8</v>
      </c>
      <c r="O21" s="27"/>
      <c r="P21" s="27"/>
      <c r="R21" s="104"/>
      <c r="S21" s="32"/>
      <c r="T21" s="32"/>
      <c r="U21" s="104" t="s">
        <v>209</v>
      </c>
      <c r="V21" s="108">
        <f>SUM(V15:V20)</f>
        <v>1270</v>
      </c>
    </row>
    <row r="22" spans="1:22" ht="15.95" customHeight="1">
      <c r="A22" s="16"/>
      <c r="B22" s="120" t="s">
        <v>15</v>
      </c>
      <c r="C22" s="20" t="s">
        <v>13</v>
      </c>
      <c r="D22" s="20"/>
      <c r="E22" s="20"/>
      <c r="F22" s="51" t="s">
        <v>100</v>
      </c>
      <c r="G22" s="31">
        <v>0.02</v>
      </c>
      <c r="H22" s="20"/>
      <c r="I22" s="54">
        <f>G22*((P30+N28*R28)/2)</f>
        <v>14</v>
      </c>
      <c r="J22" s="54">
        <f>G22*((P30+N28*R28)/2)</f>
        <v>14</v>
      </c>
      <c r="O22" s="27"/>
      <c r="P22" s="27"/>
      <c r="Q22" s="70"/>
      <c r="U22" s="71"/>
      <c r="V22" s="71"/>
    </row>
    <row r="23" spans="1:22" ht="15.75">
      <c r="A23" s="16"/>
      <c r="B23" s="20"/>
      <c r="C23" s="20" t="s">
        <v>2</v>
      </c>
      <c r="D23" s="20"/>
      <c r="E23" s="20"/>
      <c r="F23" s="51"/>
      <c r="G23" s="20"/>
      <c r="H23" s="61"/>
      <c r="I23" s="53">
        <v>10</v>
      </c>
      <c r="J23" s="53">
        <v>10</v>
      </c>
    </row>
    <row r="24" spans="1:22" ht="18" customHeight="1">
      <c r="A24" s="16"/>
      <c r="B24" s="20"/>
      <c r="C24" s="20" t="s">
        <v>329</v>
      </c>
      <c r="D24" s="20"/>
      <c r="E24" s="20"/>
      <c r="F24" s="51"/>
      <c r="G24" s="20"/>
      <c r="H24" s="61"/>
      <c r="I24" s="53">
        <v>20</v>
      </c>
      <c r="J24" s="53">
        <v>18</v>
      </c>
      <c r="M24" s="106" t="s">
        <v>91</v>
      </c>
      <c r="N24" s="106"/>
      <c r="O24" s="106"/>
      <c r="P24" s="106"/>
      <c r="Q24" s="106"/>
      <c r="R24" s="156"/>
      <c r="S24" s="156"/>
      <c r="T24" s="106"/>
    </row>
    <row r="25" spans="1:22" ht="15.95" customHeight="1">
      <c r="A25" s="23"/>
      <c r="B25" s="20"/>
      <c r="C25" s="20" t="s">
        <v>4</v>
      </c>
      <c r="D25" s="20"/>
      <c r="E25" s="20"/>
      <c r="F25" s="51"/>
      <c r="G25" s="20"/>
      <c r="H25" s="20"/>
      <c r="I25" s="53">
        <v>10</v>
      </c>
      <c r="J25" s="53">
        <v>10</v>
      </c>
      <c r="M25" s="290" t="s">
        <v>190</v>
      </c>
      <c r="N25" s="290" t="s">
        <v>94</v>
      </c>
      <c r="O25" s="290" t="s">
        <v>148</v>
      </c>
      <c r="P25" s="290" t="s">
        <v>170</v>
      </c>
      <c r="Q25" s="290" t="s">
        <v>96</v>
      </c>
      <c r="R25" s="295" t="s">
        <v>6</v>
      </c>
      <c r="S25" s="290" t="s">
        <v>86</v>
      </c>
      <c r="T25" s="290" t="s">
        <v>177</v>
      </c>
    </row>
    <row r="26" spans="1:22" ht="15.95" customHeight="1">
      <c r="A26" s="23"/>
      <c r="B26" s="20"/>
      <c r="C26" s="20" t="str">
        <f>"Operating interest"</f>
        <v>Operating interest</v>
      </c>
      <c r="D26" s="20"/>
      <c r="E26" s="20"/>
      <c r="F26" s="51"/>
      <c r="G26" s="86">
        <f>Inputs!F27</f>
        <v>7.2499999999999995E-2</v>
      </c>
      <c r="H26" s="20"/>
      <c r="I26" s="29">
        <f>(SUM(I9:I25)-I19)*Inputs!$F28*(AVERAGE($O$15:$P$15)/365)</f>
        <v>67.511464792741506</v>
      </c>
      <c r="J26" s="29">
        <f>(SUM(J9:J25)-J19)*Inputs!$F28*(AVERAGE($O$15:$P$15)/365)</f>
        <v>60.535322326988087</v>
      </c>
      <c r="M26" s="274"/>
      <c r="N26" s="274"/>
      <c r="O26" s="274"/>
      <c r="P26" s="274"/>
      <c r="Q26" s="274"/>
      <c r="R26" s="276"/>
      <c r="S26" s="274"/>
      <c r="T26" s="274"/>
    </row>
    <row r="27" spans="1:22" ht="15.95" customHeight="1">
      <c r="A27" s="16"/>
      <c r="B27" s="20"/>
      <c r="C27" s="2"/>
      <c r="D27" s="2"/>
      <c r="E27" s="2"/>
      <c r="F27" s="62"/>
      <c r="G27" s="2"/>
      <c r="H27" s="55" t="s">
        <v>28</v>
      </c>
      <c r="I27" s="81">
        <f>SUM(I9:I26)</f>
        <v>3072.2614582227229</v>
      </c>
      <c r="J27" s="63">
        <f>SUM(J10:J26)</f>
        <v>2754.188225429657</v>
      </c>
      <c r="M27" s="13" t="s">
        <v>92</v>
      </c>
      <c r="N27" s="44">
        <v>12500</v>
      </c>
      <c r="O27" s="45">
        <v>0.2</v>
      </c>
      <c r="P27" s="27">
        <f>N27*O27/SUM($O$18,$P$18)</f>
        <v>50</v>
      </c>
      <c r="Q27" s="37">
        <v>30</v>
      </c>
      <c r="R27" s="45">
        <v>0.25</v>
      </c>
      <c r="S27" s="27">
        <f>(N27-(R27*N27))/Q27+(N27+N27*R27)/2*(Inputs!$F$28)*O27</f>
        <v>421.875</v>
      </c>
      <c r="T27" s="27">
        <f>S27/SUM($O$18:$P$18)</f>
        <v>8.4375</v>
      </c>
    </row>
    <row r="28" spans="1:22" ht="15.95" customHeight="1">
      <c r="A28" s="16"/>
      <c r="B28" s="2"/>
      <c r="C28" s="2"/>
      <c r="D28" s="2"/>
      <c r="E28" s="2"/>
      <c r="F28" s="62"/>
      <c r="G28" s="2"/>
      <c r="H28" s="2"/>
      <c r="I28" s="2"/>
      <c r="J28" s="64"/>
      <c r="M28" s="13" t="s">
        <v>93</v>
      </c>
      <c r="N28" s="44">
        <v>5000</v>
      </c>
      <c r="O28" s="45">
        <v>1</v>
      </c>
      <c r="P28" s="27">
        <f>N28*O28/SUM($O$18,$P$18)</f>
        <v>100</v>
      </c>
      <c r="Q28" s="37">
        <v>20</v>
      </c>
      <c r="R28" s="45">
        <v>0.25</v>
      </c>
      <c r="S28" s="27">
        <f>(N28-(R28*N28))/Q28+(N28+N28*R28)/2*(Inputs!$F$28)*O28</f>
        <v>406.25</v>
      </c>
      <c r="T28" s="27">
        <f>S28/SUM($O$18:$P$18)</f>
        <v>8.125</v>
      </c>
    </row>
    <row r="29" spans="1:22" ht="15.95" customHeight="1">
      <c r="A29" s="16"/>
      <c r="B29" s="18" t="s">
        <v>27</v>
      </c>
      <c r="C29" s="17"/>
      <c r="D29" s="17"/>
      <c r="E29" s="17"/>
      <c r="F29" s="18"/>
      <c r="G29" s="18"/>
      <c r="H29" s="18"/>
      <c r="I29" s="18"/>
      <c r="J29" s="180"/>
      <c r="M29" s="113" t="s">
        <v>145</v>
      </c>
      <c r="N29" s="87"/>
      <c r="O29" s="45">
        <v>1</v>
      </c>
      <c r="P29" s="43">
        <f>N29*O29/SUM($O$18,$P$18)</f>
        <v>0</v>
      </c>
      <c r="Q29" s="241">
        <v>0.01</v>
      </c>
      <c r="R29" s="45"/>
      <c r="S29" s="43">
        <f>IFERROR((N29-(R29*N29))/Q29+(N29+N29*R29)/2*(Inputs!$F$28)*O29,0)</f>
        <v>0</v>
      </c>
      <c r="T29" s="43">
        <f>S29/SUM($O$18:$P$18)</f>
        <v>0</v>
      </c>
    </row>
    <row r="30" spans="1:22" ht="15.95" customHeight="1">
      <c r="A30" s="16"/>
      <c r="B30" s="69"/>
      <c r="C30" s="20" t="s">
        <v>56</v>
      </c>
      <c r="D30" s="20"/>
      <c r="E30" s="20"/>
      <c r="F30" s="51" t="s">
        <v>57</v>
      </c>
      <c r="G30" s="31">
        <v>0.01</v>
      </c>
      <c r="H30" s="2"/>
      <c r="I30" s="84">
        <f>G30*I6</f>
        <v>28.486442641009102</v>
      </c>
      <c r="J30" s="54">
        <f>G30*J6</f>
        <v>25.29960651008431</v>
      </c>
      <c r="M30" s="168" t="s">
        <v>1</v>
      </c>
      <c r="N30" s="111">
        <f>SUM(N27:N29)</f>
        <v>17500</v>
      </c>
      <c r="O30" s="111"/>
      <c r="P30" s="111">
        <f>SUM(P27:P29)</f>
        <v>150</v>
      </c>
      <c r="Q30" s="110"/>
      <c r="R30" s="110"/>
      <c r="S30" s="111">
        <f>SUM(S27:S29)</f>
        <v>828.125</v>
      </c>
      <c r="T30" s="111">
        <f>SUM(T27:T29)</f>
        <v>16.5625</v>
      </c>
    </row>
    <row r="31" spans="1:22" ht="15.95" customHeight="1">
      <c r="A31" s="16"/>
      <c r="B31" s="126" t="s">
        <v>16</v>
      </c>
      <c r="C31" s="20" t="s">
        <v>21</v>
      </c>
      <c r="D31" s="20"/>
      <c r="E31" s="20"/>
      <c r="F31" s="51"/>
      <c r="G31" s="20"/>
      <c r="H31" s="20"/>
      <c r="I31" s="54">
        <f>U41</f>
        <v>10</v>
      </c>
      <c r="J31" s="65">
        <f>U41</f>
        <v>10</v>
      </c>
    </row>
    <row r="32" spans="1:22" ht="15.95" customHeight="1">
      <c r="A32" s="16"/>
      <c r="B32" s="126"/>
      <c r="C32" s="20" t="s">
        <v>20</v>
      </c>
      <c r="D32" s="20"/>
      <c r="E32" s="20"/>
      <c r="F32" s="51"/>
      <c r="G32" s="20"/>
      <c r="H32" s="20"/>
      <c r="I32" s="54">
        <f>U45</f>
        <v>6.5625</v>
      </c>
      <c r="J32" s="65">
        <f>U45</f>
        <v>6.5625</v>
      </c>
    </row>
    <row r="33" spans="1:21" ht="15.95" customHeight="1">
      <c r="A33" s="16"/>
      <c r="B33" s="20"/>
      <c r="C33" s="20" t="s">
        <v>54</v>
      </c>
      <c r="D33" s="20"/>
      <c r="E33" s="20"/>
      <c r="F33" s="51"/>
      <c r="G33" s="20"/>
      <c r="H33" s="20"/>
      <c r="I33" s="29">
        <f>P30*(Inputs!F29+Inputs!F30)</f>
        <v>1.4550000000000001</v>
      </c>
      <c r="J33" s="30">
        <f>P30*(Inputs!F29+Inputs!F30)</f>
        <v>1.4550000000000001</v>
      </c>
    </row>
    <row r="34" spans="1:21" ht="15.95" customHeight="1">
      <c r="A34" s="16"/>
      <c r="B34" s="20"/>
      <c r="C34" s="20"/>
      <c r="D34" s="20"/>
      <c r="E34" s="20"/>
      <c r="F34" s="20"/>
      <c r="G34" s="20"/>
      <c r="H34" s="55" t="s">
        <v>29</v>
      </c>
      <c r="I34" s="81">
        <f>SUM(I30:I33)</f>
        <v>46.503942641009104</v>
      </c>
      <c r="J34" s="56">
        <f>SUM(J30:J33)</f>
        <v>43.317106510084308</v>
      </c>
    </row>
    <row r="35" spans="1:21" ht="15.95" customHeight="1">
      <c r="A35" s="21"/>
      <c r="B35" s="20"/>
      <c r="C35" s="20"/>
      <c r="D35" s="20"/>
      <c r="E35" s="20"/>
      <c r="F35" s="20"/>
      <c r="G35" s="20"/>
      <c r="H35" s="20"/>
      <c r="I35" s="20"/>
      <c r="J35" s="66"/>
    </row>
    <row r="36" spans="1:21" ht="15.95" customHeight="1">
      <c r="A36" s="16"/>
      <c r="B36" s="69"/>
      <c r="C36" s="20"/>
      <c r="D36" s="20"/>
      <c r="E36" s="20"/>
      <c r="F36" s="20"/>
      <c r="G36" s="20"/>
      <c r="H36" s="67" t="s">
        <v>318</v>
      </c>
      <c r="I36" s="63">
        <f>I37-SUM(I32,I31,I30,I19)</f>
        <v>3002.5003516202</v>
      </c>
      <c r="J36" s="63">
        <f>J37-SUM(J32,J31,J30,J19)</f>
        <v>2692.3942091544459</v>
      </c>
      <c r="M36" s="50"/>
      <c r="N36" s="36"/>
      <c r="O36" s="36"/>
      <c r="P36" s="36"/>
    </row>
    <row r="37" spans="1:21" ht="15.95" customHeight="1">
      <c r="A37" s="16"/>
      <c r="B37" s="14"/>
      <c r="C37" s="14"/>
      <c r="D37" s="14"/>
      <c r="E37" s="14"/>
      <c r="F37" s="14"/>
      <c r="G37" s="14"/>
      <c r="H37" s="215" t="s">
        <v>30</v>
      </c>
      <c r="I37" s="219">
        <f>I27+I34</f>
        <v>3118.7654008637319</v>
      </c>
      <c r="J37" s="216">
        <f>J27+J34</f>
        <v>2797.5053319397412</v>
      </c>
      <c r="M37" s="36"/>
      <c r="N37" s="36"/>
      <c r="O37" s="36"/>
      <c r="P37" s="36"/>
    </row>
    <row r="38" spans="1:21" ht="15.95" customHeight="1">
      <c r="A38" s="16"/>
      <c r="B38" s="208" t="s">
        <v>264</v>
      </c>
      <c r="C38" s="153"/>
      <c r="D38" s="153"/>
      <c r="E38" s="153"/>
      <c r="F38" s="153"/>
      <c r="G38" s="153"/>
      <c r="H38" s="153"/>
      <c r="I38" s="209">
        <f>I6-I36</f>
        <v>-153.85608751928976</v>
      </c>
      <c r="J38" s="209">
        <f>J6-J36</f>
        <v>-162.433558146015</v>
      </c>
      <c r="M38" s="36"/>
      <c r="N38" s="36"/>
      <c r="O38" s="36"/>
    </row>
    <row r="39" spans="1:21" ht="15.95" customHeight="1">
      <c r="A39" s="16"/>
      <c r="B39" s="119" t="s">
        <v>191</v>
      </c>
      <c r="C39" s="2"/>
      <c r="D39" s="2"/>
      <c r="E39" s="69"/>
      <c r="F39" s="20"/>
      <c r="G39" s="20"/>
      <c r="H39" s="20"/>
      <c r="I39" s="56">
        <f>I6-I27</f>
        <v>-223.61719412181264</v>
      </c>
      <c r="J39" s="56">
        <f>J6-J27</f>
        <v>-224.22757442122611</v>
      </c>
      <c r="M39" s="36"/>
      <c r="N39" s="36"/>
      <c r="O39" s="36"/>
      <c r="R39" s="217"/>
      <c r="S39" s="217"/>
      <c r="T39" s="217"/>
      <c r="U39" s="217" t="s">
        <v>107</v>
      </c>
    </row>
    <row r="40" spans="1:21" ht="15.95" customHeight="1">
      <c r="A40" s="16"/>
      <c r="B40" s="218" t="s">
        <v>192</v>
      </c>
      <c r="C40" s="195"/>
      <c r="D40" s="195"/>
      <c r="E40" s="128"/>
      <c r="F40" s="14"/>
      <c r="G40" s="14"/>
      <c r="H40" s="14"/>
      <c r="I40" s="129">
        <f>I6-I37</f>
        <v>-270.12113676282161</v>
      </c>
      <c r="J40" s="129">
        <f>J6-J37</f>
        <v>-267.54468093131027</v>
      </c>
      <c r="M40" s="36"/>
      <c r="N40" s="36"/>
      <c r="O40" s="36"/>
      <c r="R40" s="217"/>
      <c r="S40" s="217"/>
      <c r="T40" s="217"/>
      <c r="U40" s="217"/>
    </row>
    <row r="41" spans="1:21" ht="15.95" customHeight="1">
      <c r="A41" s="16"/>
      <c r="B41" s="244" t="s">
        <v>336</v>
      </c>
      <c r="C41" s="245"/>
      <c r="D41" s="245"/>
      <c r="E41" s="18"/>
      <c r="F41" s="17"/>
      <c r="G41" s="17"/>
      <c r="H41" s="17"/>
      <c r="I41" s="246">
        <f>I36/($G$3*100)</f>
        <v>3.8006333564812658</v>
      </c>
      <c r="J41" s="246">
        <f>J36/(G4*100)</f>
        <v>3.6882112454170493</v>
      </c>
      <c r="R41" s="217"/>
      <c r="S41" s="217"/>
      <c r="T41" s="217"/>
      <c r="U41" s="217">
        <f>((N27-(R27*N27))/Q27+(N28-(R28*N28))/Q28)/SUM($O$18:$P$18)</f>
        <v>10</v>
      </c>
    </row>
    <row r="42" spans="1:21" ht="15.95" customHeight="1">
      <c r="A42" s="16"/>
      <c r="B42" s="119"/>
      <c r="C42" s="210" t="s">
        <v>319</v>
      </c>
      <c r="D42" s="2"/>
      <c r="E42" s="69"/>
      <c r="F42" s="20"/>
      <c r="G42" s="20"/>
      <c r="H42" s="20"/>
      <c r="I42" s="56"/>
      <c r="J42" s="56"/>
      <c r="R42" s="217"/>
      <c r="S42" s="217"/>
      <c r="T42" s="222">
        <f>((N27-(R27*N27))/Q27+(N28-(R28*N28))/Q28+(N29-(R29*N29))/Q29)/SUM($O$18:$P$18)</f>
        <v>10</v>
      </c>
      <c r="U42" s="217"/>
    </row>
    <row r="43" spans="1:21" ht="15" customHeight="1">
      <c r="A43" s="16"/>
      <c r="B43" s="20"/>
      <c r="C43" s="20"/>
      <c r="D43" s="20"/>
      <c r="E43" s="20"/>
      <c r="F43" s="20"/>
      <c r="G43" s="20"/>
      <c r="H43" s="20"/>
      <c r="I43" s="24"/>
      <c r="R43" s="217"/>
      <c r="S43" s="217"/>
      <c r="T43" s="217"/>
      <c r="U43" s="217"/>
    </row>
    <row r="44" spans="1:21" ht="18.75">
      <c r="A44" s="16"/>
      <c r="B44" s="157" t="s">
        <v>349</v>
      </c>
      <c r="C44" s="173"/>
      <c r="D44" s="158"/>
      <c r="E44" s="158"/>
      <c r="F44" s="158"/>
      <c r="G44" s="158"/>
      <c r="H44" s="158"/>
      <c r="I44" s="159"/>
      <c r="J44" s="158"/>
      <c r="K44" s="107"/>
      <c r="R44" s="217"/>
      <c r="S44" s="217"/>
      <c r="T44" s="217"/>
      <c r="U44" s="217"/>
    </row>
    <row r="45" spans="1:21" ht="17.25">
      <c r="A45" s="16"/>
      <c r="B45" s="160"/>
      <c r="C45" s="254" t="s">
        <v>147</v>
      </c>
      <c r="D45" s="254"/>
      <c r="E45" s="254"/>
      <c r="F45" s="254"/>
      <c r="G45" s="254"/>
      <c r="H45" s="254"/>
      <c r="I45" s="254"/>
      <c r="J45" s="254"/>
      <c r="K45" s="254"/>
      <c r="R45" s="217"/>
      <c r="S45" s="217" t="s">
        <v>108</v>
      </c>
      <c r="T45" s="217"/>
      <c r="U45" s="217">
        <f>T30-U41</f>
        <v>6.5625</v>
      </c>
    </row>
    <row r="46" spans="1:21" ht="17.25">
      <c r="A46" s="16"/>
      <c r="B46" s="291"/>
      <c r="C46" s="303" t="s">
        <v>207</v>
      </c>
      <c r="D46" s="161"/>
      <c r="E46" s="181">
        <f>H46*0.85</f>
        <v>6.46</v>
      </c>
      <c r="F46" s="181">
        <f>H46*0.9</f>
        <v>6.84</v>
      </c>
      <c r="G46" s="181">
        <f>H46*0.95</f>
        <v>7.22</v>
      </c>
      <c r="H46" s="181">
        <f>AVERAGE(G3:G4)</f>
        <v>7.6</v>
      </c>
      <c r="I46" s="182">
        <f>H46*1.05</f>
        <v>7.9799999999999995</v>
      </c>
      <c r="J46" s="181">
        <f>H46*1.1</f>
        <v>8.36</v>
      </c>
      <c r="K46" s="181">
        <f>H46*1.15</f>
        <v>8.7399999999999984</v>
      </c>
      <c r="T46" s="27"/>
    </row>
    <row r="47" spans="1:21" ht="17.25">
      <c r="B47" s="291"/>
      <c r="C47" s="303"/>
      <c r="D47" s="78">
        <f>D50*0.7</f>
        <v>250.0052947511553</v>
      </c>
      <c r="E47" s="73">
        <f t="shared" ref="E47:K53" si="6">E$46*$D47-(AVERAGE($I$36:$J$36)-AVERAGE(SUM($I$11:$I$16),SUM($J$11:$J$16))+$R$10*(E$46-AVERAGE($G$9:$G$10))-(SUM($I$26:$J$26,$I$19:$J$19)/2)+E$46*$D47*$G$19+((AVERAGE($I$36:$J$36)-(SUM($I$26:$J$26,$I$19:$J$19)/2)+E$46*$D47*$G$19)*$G$26*($O$15/365)))</f>
        <v>-1098.1281223027072</v>
      </c>
      <c r="F47" s="73">
        <f t="shared" si="6"/>
        <v>-1041.9275487508723</v>
      </c>
      <c r="G47" s="73">
        <f t="shared" si="6"/>
        <v>-985.72697519903659</v>
      </c>
      <c r="H47" s="73">
        <f t="shared" si="6"/>
        <v>-929.52640164720037</v>
      </c>
      <c r="I47" s="73">
        <f t="shared" si="6"/>
        <v>-873.3258280953653</v>
      </c>
      <c r="J47" s="73">
        <f t="shared" si="6"/>
        <v>-817.12525454352954</v>
      </c>
      <c r="K47" s="73">
        <f t="shared" si="6"/>
        <v>-760.92468099169491</v>
      </c>
    </row>
    <row r="48" spans="1:21" ht="17.25">
      <c r="B48" s="291"/>
      <c r="C48" s="303"/>
      <c r="D48" s="78">
        <f>D50*0.8</f>
        <v>285.72033685846321</v>
      </c>
      <c r="E48" s="73">
        <f t="shared" si="6"/>
        <v>-873.31441293205557</v>
      </c>
      <c r="F48" s="73">
        <f t="shared" si="6"/>
        <v>-803.88950353488781</v>
      </c>
      <c r="G48" s="73">
        <f t="shared" si="6"/>
        <v>-734.46459413771936</v>
      </c>
      <c r="H48" s="73">
        <f t="shared" si="6"/>
        <v>-665.03968474055091</v>
      </c>
      <c r="I48" s="73">
        <f t="shared" si="6"/>
        <v>-595.61477534338383</v>
      </c>
      <c r="J48" s="73">
        <f t="shared" si="6"/>
        <v>-526.18986594621538</v>
      </c>
      <c r="K48" s="73">
        <f t="shared" si="6"/>
        <v>-456.76495654904784</v>
      </c>
    </row>
    <row r="49" spans="2:11" ht="17.25">
      <c r="B49" s="291"/>
      <c r="C49" s="303"/>
      <c r="D49" s="78">
        <f>D50*0.9</f>
        <v>321.43537896577112</v>
      </c>
      <c r="E49" s="73">
        <f t="shared" si="6"/>
        <v>-648.50070356140304</v>
      </c>
      <c r="F49" s="73">
        <f t="shared" si="6"/>
        <v>-565.8514583189035</v>
      </c>
      <c r="G49" s="73">
        <f t="shared" si="6"/>
        <v>-483.20221307640304</v>
      </c>
      <c r="H49" s="73">
        <f t="shared" si="6"/>
        <v>-400.55296783390213</v>
      </c>
      <c r="I49" s="73">
        <f t="shared" si="6"/>
        <v>-317.90372259140213</v>
      </c>
      <c r="J49" s="73">
        <f t="shared" si="6"/>
        <v>-235.25447734890076</v>
      </c>
      <c r="K49" s="73">
        <f t="shared" si="6"/>
        <v>-152.60523210640122</v>
      </c>
    </row>
    <row r="50" spans="2:11" ht="17.25">
      <c r="B50" s="291"/>
      <c r="C50" s="303"/>
      <c r="D50" s="79">
        <f>AVERAGE(H3,H4)</f>
        <v>357.15042107307903</v>
      </c>
      <c r="E50" s="73">
        <f t="shared" si="6"/>
        <v>-423.68699419075119</v>
      </c>
      <c r="F50" s="73">
        <f t="shared" si="6"/>
        <v>-327.81341310291918</v>
      </c>
      <c r="G50" s="73">
        <f t="shared" si="6"/>
        <v>-231.93983201508581</v>
      </c>
      <c r="H50" s="77">
        <f t="shared" si="6"/>
        <v>-136.06625092725244</v>
      </c>
      <c r="I50" s="85">
        <f t="shared" si="6"/>
        <v>-40.192669839420432</v>
      </c>
      <c r="J50" s="73">
        <f t="shared" si="6"/>
        <v>55.68091124841294</v>
      </c>
      <c r="K50" s="73">
        <f t="shared" si="6"/>
        <v>151.55449233624495</v>
      </c>
    </row>
    <row r="51" spans="2:11" ht="17.25">
      <c r="B51" s="291"/>
      <c r="C51" s="303"/>
      <c r="D51" s="78">
        <f>D50*1.1</f>
        <v>392.86546318038694</v>
      </c>
      <c r="E51" s="73">
        <f t="shared" si="6"/>
        <v>-198.8732848200998</v>
      </c>
      <c r="F51" s="73">
        <f t="shared" si="6"/>
        <v>-89.775367886934873</v>
      </c>
      <c r="G51" s="73">
        <f t="shared" si="6"/>
        <v>19.322549046230506</v>
      </c>
      <c r="H51" s="73">
        <f t="shared" si="6"/>
        <v>128.42046597939634</v>
      </c>
      <c r="I51" s="73">
        <f t="shared" si="6"/>
        <v>237.51838291256126</v>
      </c>
      <c r="J51" s="73">
        <f t="shared" si="6"/>
        <v>346.6162998457271</v>
      </c>
      <c r="K51" s="73">
        <f t="shared" si="6"/>
        <v>455.71421677889157</v>
      </c>
    </row>
    <row r="52" spans="2:11" ht="17.25">
      <c r="B52" s="291"/>
      <c r="C52" s="303"/>
      <c r="D52" s="78">
        <f>D50*1.2</f>
        <v>428.58050528769485</v>
      </c>
      <c r="E52" s="73">
        <f t="shared" si="6"/>
        <v>25.940424550551597</v>
      </c>
      <c r="F52" s="73">
        <f t="shared" si="6"/>
        <v>148.26267732904944</v>
      </c>
      <c r="G52" s="73">
        <f t="shared" si="6"/>
        <v>270.58493010754773</v>
      </c>
      <c r="H52" s="73">
        <f t="shared" si="6"/>
        <v>392.90718288604603</v>
      </c>
      <c r="I52" s="73">
        <f t="shared" si="6"/>
        <v>515.22943566454251</v>
      </c>
      <c r="J52" s="73">
        <f t="shared" si="6"/>
        <v>637.55168844304126</v>
      </c>
      <c r="K52" s="73">
        <f t="shared" si="6"/>
        <v>759.87394122153819</v>
      </c>
    </row>
    <row r="53" spans="2:11" ht="17.25">
      <c r="B53" s="292"/>
      <c r="C53" s="304"/>
      <c r="D53" s="163">
        <f>D50*1.3</f>
        <v>464.29554739500276</v>
      </c>
      <c r="E53" s="73">
        <f t="shared" si="6"/>
        <v>250.7541339212039</v>
      </c>
      <c r="F53" s="73">
        <f t="shared" si="6"/>
        <v>386.3007225450333</v>
      </c>
      <c r="G53" s="73">
        <f t="shared" si="6"/>
        <v>521.8473111688636</v>
      </c>
      <c r="H53" s="73">
        <f t="shared" si="6"/>
        <v>657.39389979269481</v>
      </c>
      <c r="I53" s="73">
        <f t="shared" si="6"/>
        <v>792.9404884165242</v>
      </c>
      <c r="J53" s="73">
        <f t="shared" si="6"/>
        <v>928.48707704035542</v>
      </c>
      <c r="K53" s="73">
        <f t="shared" si="6"/>
        <v>1064.0336656641844</v>
      </c>
    </row>
    <row r="54" spans="2:11" ht="16.5">
      <c r="B54" s="74"/>
      <c r="C54" s="76"/>
      <c r="D54" s="76"/>
      <c r="E54" s="75"/>
      <c r="F54" s="75"/>
      <c r="G54" s="75"/>
      <c r="H54" s="75"/>
      <c r="I54" s="75"/>
      <c r="J54" s="75"/>
      <c r="K54" s="75"/>
    </row>
    <row r="55" spans="2:11" ht="16.5">
      <c r="B55" s="75"/>
      <c r="C55" s="76"/>
      <c r="D55" s="76"/>
      <c r="E55" s="75"/>
      <c r="F55" s="75"/>
      <c r="G55" s="75"/>
      <c r="H55" s="75"/>
      <c r="I55" s="75"/>
      <c r="J55" s="75"/>
      <c r="K55" s="75"/>
    </row>
    <row r="56" spans="2:11" ht="16.5">
      <c r="B56" s="75"/>
      <c r="I56" s="75"/>
      <c r="J56" s="75"/>
      <c r="K56" s="75"/>
    </row>
    <row r="57" spans="2:11" ht="16.5" hidden="1">
      <c r="B57" s="75"/>
      <c r="K57" s="75"/>
    </row>
  </sheetData>
  <sheetProtection sheet="1" objects="1" scenarios="1"/>
  <protectedRanges>
    <protectedRange sqref="H9:H10 G3:H4 I5:J5 G9:G11 G17 G19 G22 I18:J18 I20:J20 I23:J25 G30 M4:N8 O15:P15 O17:P19 R15:U20 N27:O29 M29 Q27:R29" name="Grey cells"/>
  </protectedRanges>
  <mergeCells count="19">
    <mergeCell ref="V13:V14"/>
    <mergeCell ref="M25:M26"/>
    <mergeCell ref="N25:N26"/>
    <mergeCell ref="O25:O26"/>
    <mergeCell ref="P25:P26"/>
    <mergeCell ref="Q25:Q26"/>
    <mergeCell ref="R25:R26"/>
    <mergeCell ref="S25:S26"/>
    <mergeCell ref="T25:T26"/>
    <mergeCell ref="O13:O14"/>
    <mergeCell ref="P13:P14"/>
    <mergeCell ref="R13:R14"/>
    <mergeCell ref="S13:S14"/>
    <mergeCell ref="T13:T14"/>
    <mergeCell ref="B46:B53"/>
    <mergeCell ref="C46:C53"/>
    <mergeCell ref="M13:M14"/>
    <mergeCell ref="N13:N14"/>
    <mergeCell ref="U13:U14"/>
  </mergeCells>
  <pageMargins left="0.75" right="0.75" top="1" bottom="1" header="0.5" footer="0.5"/>
  <pageSetup scale="6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E7AB191-BDE6-4025-B229-407BB2575F16}">
          <x14:formula1>
            <xm:f>Inputs!$B$10:$B$21</xm:f>
          </x14:formula1>
          <xm:sqref>M4:M8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f608c11-4ccd-421c-a88d-29e29a7a365f" xsi:nil="true"/>
    <lcf76f155ced4ddcb4097134ff3c332f xmlns="9f608c11-4ccd-421c-a88d-29e29a7a365f">
      <Terms xmlns="http://schemas.microsoft.com/office/infopath/2007/PartnerControls"/>
    </lcf76f155ced4ddcb4097134ff3c332f>
    <TaxCatchAll xmlns="7bd0c97a-79aa-4cc6-bd7d-1cd468b1e455" xsi:nil="true"/>
    <last_x0020_update xmlns="9f608c11-4ccd-421c-a88d-29e29a7a36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95914E1A9804181E196FA66AF5914" ma:contentTypeVersion="22" ma:contentTypeDescription="Create a new document." ma:contentTypeScope="" ma:versionID="902bb9753b7e981363232741cb3f5c6f">
  <xsd:schema xmlns:xsd="http://www.w3.org/2001/XMLSchema" xmlns:xs="http://www.w3.org/2001/XMLSchema" xmlns:p="http://schemas.microsoft.com/office/2006/metadata/properties" xmlns:ns2="9f608c11-4ccd-421c-a88d-29e29a7a365f" xmlns:ns3="7bd0c97a-79aa-4cc6-bd7d-1cd468b1e455" targetNamespace="http://schemas.microsoft.com/office/2006/metadata/properties" ma:root="true" ma:fieldsID="9d632cf5e169f413de75443aa3fb789d" ns2:_="" ns3:_="">
    <xsd:import namespace="9f608c11-4ccd-421c-a88d-29e29a7a365f"/>
    <xsd:import namespace="7bd0c97a-79aa-4cc6-bd7d-1cd468b1e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ast_x0020_update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8c11-4ccd-421c-a88d-29e29a7a3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_x0020_update" ma:index="19" nillable="true" ma:displayName="last update" ma:format="DateOnly" ma:internalName="last_x0020_update">
      <xsd:simpleType>
        <xsd:restriction base="dms:DateTime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c97a-79aa-4cc6-bd7d-1cd468b1e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1755391-8c5a-49fe-93a6-be9ca737bd28}" ma:internalName="TaxCatchAll" ma:showField="CatchAllData" ma:web="7bd0c97a-79aa-4cc6-bd7d-1cd468b1e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EDDA92-8531-4FDB-B31D-E5AD2DA1F895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8314d9d2-30f2-49f9-b240-cd17bbf3f9a5"/>
    <ds:schemaRef ds:uri="d4d79648-e838-4716-b265-bef8bdd438c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3A3AC8-808C-4B6C-B715-C9CF22DA2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59335-8B2F-4210-8894-2122C3A55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Introduction</vt:lpstr>
      <vt:lpstr>Inputs</vt:lpstr>
      <vt:lpstr>Pasture cost calculator (hide)</vt:lpstr>
      <vt:lpstr>Cost categorization (delete)</vt:lpstr>
      <vt:lpstr>Cow-calf (Fall)</vt:lpstr>
      <vt:lpstr>Cow-calf (Spring)</vt:lpstr>
      <vt:lpstr>Replacement heifer</vt:lpstr>
      <vt:lpstr>Drylot backgrounding</vt:lpstr>
      <vt:lpstr>Pasture backgrounding</vt:lpstr>
      <vt:lpstr>Fed cattle</vt:lpstr>
      <vt:lpstr>'Cow-calf (Fall)'!Print_Area</vt:lpstr>
      <vt:lpstr>'Cow-calf (Spring)'!Print_Area</vt:lpstr>
      <vt:lpstr>'Drylot backgrounding'!Print_Area</vt:lpstr>
      <vt:lpstr>'Fed cattle'!Print_Area</vt:lpstr>
      <vt:lpstr>Inputs!Print_Area</vt:lpstr>
      <vt:lpstr>Introduction!Print_Area</vt:lpstr>
      <vt:lpstr>'Pasture backgrounding'!Print_Area</vt:lpstr>
      <vt:lpstr>'Pasture cost calculator (hide)'!Print_Area</vt:lpstr>
      <vt:lpstr>'Replacement heifer'!Print_Area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Beef Budgets</dc:title>
  <dc:creator>dkientzy@missouri.edu</dc:creator>
  <cp:lastModifiedBy>Stokes, Victoria</cp:lastModifiedBy>
  <cp:lastPrinted>2025-10-22T13:24:42Z</cp:lastPrinted>
  <dcterms:created xsi:type="dcterms:W3CDTF">1999-09-03T12:55:45Z</dcterms:created>
  <dcterms:modified xsi:type="dcterms:W3CDTF">2025-10-27T20:37:35Z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0x010100BE995914E1A9804181E196FA66AF5914</vt:lpwstr>
  </property>
</Properties>
</file>