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codeName="ThisWorkbook" defaultThemeVersion="124226"/>
  <mc:AlternateContent xmlns:mc="http://schemas.openxmlformats.org/markup-compatibility/2006">
    <mc:Choice Requires="x15">
      <x15ac:absPath xmlns:x15ac="http://schemas.microsoft.com/office/spreadsheetml/2010/11/ac" url="/Users/curtwohleber/OneDrive - University of Missouri/newsweb/Extensiondata/NewsAdmin/Photos/2022/docs/"/>
    </mc:Choice>
  </mc:AlternateContent>
  <xr:revisionPtr revIDLastSave="0" documentId="8_{7A5AEA7F-DAFD-F141-82FC-76B6E78B68A8}" xr6:coauthVersionLast="47" xr6:coauthVersionMax="47" xr10:uidLastSave="{00000000-0000-0000-0000-000000000000}"/>
  <bookViews>
    <workbookView xWindow="2320" yWindow="460" windowWidth="29040" windowHeight="15840" activeTab="1" xr2:uid="{00000000-000D-0000-FFFF-FFFF00000000}"/>
  </bookViews>
  <sheets>
    <sheet name="Introduction" sheetId="5" r:id="rId1"/>
    <sheet name="Silage valuation" sheetId="7" r:id="rId2"/>
    <sheet name="Relative Feed Val 4-21-22" sheetId="8" r:id="rId3"/>
  </sheets>
  <definedNames>
    <definedName name="Bag">'Silage valuation'!$K$45:$U$46</definedName>
    <definedName name="Bales">'Silage valuation'!$K$59:$U$60</definedName>
    <definedName name="ConvTower">'Silage valuation'!$K$36:$U$40</definedName>
    <definedName name="CovStack">'Silage valuation'!$K$47:$U$49</definedName>
    <definedName name="CovTrench">'Silage valuation'!$K$53:$U$55</definedName>
    <definedName name="GasTower">'Silage valuation'!$K$41:$U$44</definedName>
    <definedName name="UncovStack">'Silage valuation'!$K$50:$U$52</definedName>
    <definedName name="UncovTrench">'Silage valuation'!$K$56:$U$58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8" i="7" l="1"/>
  <c r="M27" i="7"/>
  <c r="D10" i="7" l="1"/>
  <c r="U36" i="7"/>
  <c r="U37" i="7"/>
  <c r="U38" i="7"/>
  <c r="L65" i="7" s="1"/>
  <c r="U39" i="7"/>
  <c r="U40" i="7"/>
  <c r="U41" i="7"/>
  <c r="U42" i="7"/>
  <c r="U43" i="7"/>
  <c r="L66" i="7" s="1"/>
  <c r="U44" i="7"/>
  <c r="U45" i="7"/>
  <c r="L67" i="7" s="1"/>
  <c r="U46" i="7"/>
  <c r="U47" i="7"/>
  <c r="L68" i="7" s="1"/>
  <c r="U48" i="7"/>
  <c r="U49" i="7"/>
  <c r="U50" i="7"/>
  <c r="L69" i="7" s="1"/>
  <c r="U51" i="7"/>
  <c r="U52" i="7"/>
  <c r="U53" i="7"/>
  <c r="L70" i="7" s="1"/>
  <c r="U54" i="7"/>
  <c r="U55" i="7"/>
  <c r="U56" i="7"/>
  <c r="L71" i="7" s="1"/>
  <c r="M71" i="7" s="1"/>
  <c r="U57" i="7"/>
  <c r="U58" i="7"/>
  <c r="U59" i="7"/>
  <c r="U60" i="7"/>
  <c r="L72" i="7" s="1"/>
  <c r="M72" i="7" s="1"/>
  <c r="L28" i="7"/>
  <c r="L27" i="7"/>
  <c r="K18" i="7"/>
  <c r="K17" i="7"/>
  <c r="K16" i="7"/>
  <c r="K15" i="7"/>
  <c r="C16" i="7"/>
  <c r="C21" i="7" s="1"/>
  <c r="D22" i="7" s="1"/>
  <c r="E22" i="7" s="1"/>
  <c r="K14" i="7"/>
  <c r="K13" i="7"/>
  <c r="K12" i="7"/>
  <c r="K11" i="7"/>
  <c r="K10" i="7"/>
  <c r="K9" i="7"/>
  <c r="K8" i="7"/>
  <c r="C7" i="7"/>
  <c r="K7" i="7"/>
  <c r="K6" i="7"/>
  <c r="M67" i="7" l="1"/>
  <c r="C9" i="7"/>
  <c r="D9" i="7" s="1"/>
  <c r="M65" i="7"/>
  <c r="M66" i="7"/>
  <c r="L29" i="7"/>
  <c r="L30" i="7" s="1"/>
  <c r="M70" i="7"/>
  <c r="M69" i="7"/>
  <c r="M68" i="7"/>
  <c r="M29" i="7"/>
  <c r="M30" i="7" s="1"/>
  <c r="E27" i="7"/>
  <c r="F22" i="7"/>
  <c r="O30" i="7" l="1"/>
  <c r="O31" i="7" s="1"/>
  <c r="E30" i="7"/>
  <c r="E32" i="7" s="1"/>
  <c r="F32" i="7" s="1"/>
  <c r="F27" i="7"/>
</calcChain>
</file>

<file path=xl/sharedStrings.xml><?xml version="1.0" encoding="utf-8"?>
<sst xmlns="http://schemas.openxmlformats.org/spreadsheetml/2006/main" count="134" uniqueCount="124">
  <si>
    <t>bushels/acre</t>
  </si>
  <si>
    <t>tons/acre</t>
  </si>
  <si>
    <t>pounds/bushel</t>
  </si>
  <si>
    <t>Determining Silage Value</t>
  </si>
  <si>
    <t>Silage Cost Analyzer</t>
  </si>
  <si>
    <t>Descriptor</t>
  </si>
  <si>
    <t>Unit</t>
  </si>
  <si>
    <t>pounds/ton (67% water)</t>
  </si>
  <si>
    <t>pounds/acre</t>
  </si>
  <si>
    <t>Additional nutrient removal from silage</t>
  </si>
  <si>
    <t xml:space="preserve">Additional nutrient cost </t>
  </si>
  <si>
    <t>dollars/acre</t>
  </si>
  <si>
    <t>Additional nutrient cost per bushel of expected grain yield</t>
  </si>
  <si>
    <t>dollars/bushel</t>
  </si>
  <si>
    <t>Raymond E. Massey</t>
  </si>
  <si>
    <t>Agricultural Business and Policy Extension</t>
  </si>
  <si>
    <t>Professor, University of Missouri</t>
  </si>
  <si>
    <t xml:space="preserve">Developed by: </t>
  </si>
  <si>
    <t>This worksheet is for educational purposes only. Its use is not supported by the University of Missouri and the user assumes all risks associated with its use.</t>
  </si>
  <si>
    <t>Crop removal estimates from http://www.ipni.net/article/IPNI-3296</t>
  </si>
  <si>
    <t>Nutrient Removal estimates</t>
  </si>
  <si>
    <t>Estimated Grain Yield</t>
  </si>
  <si>
    <t>Estimated Silage Yield</t>
  </si>
  <si>
    <t>dry matter basis</t>
  </si>
  <si>
    <t>wet-basis</t>
  </si>
  <si>
    <t>Table 2. Fertilizer implications of harvesting corn for silage</t>
  </si>
  <si>
    <t>$/bushel</t>
  </si>
  <si>
    <t>$/acre</t>
  </si>
  <si>
    <r>
      <t>P</t>
    </r>
    <r>
      <rPr>
        <b/>
        <vertAlign val="subscript"/>
        <sz val="12"/>
        <rFont val="Arial"/>
        <family val="2"/>
      </rPr>
      <t>2</t>
    </r>
    <r>
      <rPr>
        <b/>
        <sz val="12"/>
        <rFont val="Arial"/>
        <family val="2"/>
      </rPr>
      <t>O</t>
    </r>
    <r>
      <rPr>
        <b/>
        <vertAlign val="subscript"/>
        <sz val="12"/>
        <rFont val="Arial"/>
        <family val="2"/>
      </rPr>
      <t>5</t>
    </r>
  </si>
  <si>
    <r>
      <t>K</t>
    </r>
    <r>
      <rPr>
        <b/>
        <vertAlign val="subscript"/>
        <sz val="12"/>
        <rFont val="Arial"/>
        <family val="2"/>
      </rPr>
      <t>2</t>
    </r>
    <r>
      <rPr>
        <b/>
        <sz val="12"/>
        <rFont val="Arial"/>
        <family val="2"/>
      </rPr>
      <t>O</t>
    </r>
  </si>
  <si>
    <t>Potential Input Sources</t>
  </si>
  <si>
    <t>Nutrients removed with harvested as grain</t>
  </si>
  <si>
    <t>Nutrients removed with harvested as silage</t>
  </si>
  <si>
    <t>Table 3. Silage storage loss</t>
  </si>
  <si>
    <t>Drying cost</t>
  </si>
  <si>
    <t>Hauling cost</t>
  </si>
  <si>
    <t>Fertilizer removal value</t>
  </si>
  <si>
    <t>Estimated grain yield</t>
  </si>
  <si>
    <t>Estimated silage yield</t>
  </si>
  <si>
    <t>tons/acre, wet-basis</t>
  </si>
  <si>
    <t>Dry matter of silage</t>
  </si>
  <si>
    <t>Subtract:</t>
  </si>
  <si>
    <t>Add:</t>
  </si>
  <si>
    <t>$/wet ton</t>
  </si>
  <si>
    <t>$/dry matter ton</t>
  </si>
  <si>
    <t>Silage transportation charge</t>
  </si>
  <si>
    <t xml:space="preserve">Add: </t>
  </si>
  <si>
    <t>Add: cost of delivery to livestock</t>
  </si>
  <si>
    <t>Silage yield</t>
  </si>
  <si>
    <t>tons/acre, dry matter basis</t>
  </si>
  <si>
    <t>Grain and silage estimates</t>
  </si>
  <si>
    <t>Adjustments to estimate silage value</t>
  </si>
  <si>
    <t>Nutrient value</t>
  </si>
  <si>
    <t>pound of nutrient</t>
  </si>
  <si>
    <t>Conventional tower</t>
  </si>
  <si>
    <t>Gas-tight tower</t>
  </si>
  <si>
    <t>Silage bags</t>
  </si>
  <si>
    <t>Seepage</t>
  </si>
  <si>
    <t>Gaseous</t>
  </si>
  <si>
    <t>Feedable Fraction</t>
  </si>
  <si>
    <t>ConvTower</t>
  </si>
  <si>
    <t>GasTower</t>
  </si>
  <si>
    <t>Bag</t>
  </si>
  <si>
    <t>CovStack</t>
  </si>
  <si>
    <t>UncovStack</t>
  </si>
  <si>
    <t>CovTrench</t>
  </si>
  <si>
    <t>UncovTrench</t>
  </si>
  <si>
    <t>Bales</t>
  </si>
  <si>
    <t>Range name</t>
  </si>
  <si>
    <t>Silage storage list</t>
  </si>
  <si>
    <t>Moisture (%)</t>
  </si>
  <si>
    <t>Filling (max)</t>
  </si>
  <si>
    <t>Filling (min)</t>
  </si>
  <si>
    <t>Top surface</t>
  </si>
  <si>
    <t>Feed out (min)</t>
  </si>
  <si>
    <t>Feed out (max)</t>
  </si>
  <si>
    <t>Total (min)</t>
  </si>
  <si>
    <t>Total (max)</t>
  </si>
  <si>
    <t>Conventional Tower</t>
  </si>
  <si>
    <t>Covered Stack</t>
  </si>
  <si>
    <t>Covered Trench or Bunker</t>
  </si>
  <si>
    <t>Gas-tight Tower</t>
  </si>
  <si>
    <t>Silage Bags</t>
  </si>
  <si>
    <t>Uncovered Stack</t>
  </si>
  <si>
    <t>Uncovered Trench or Bunker</t>
  </si>
  <si>
    <t>Wrapped Bales</t>
  </si>
  <si>
    <t>Average loss</t>
  </si>
  <si>
    <t>Estimated loss</t>
  </si>
  <si>
    <t>Summary of losses for estimated dry matter of this particular analysis</t>
  </si>
  <si>
    <t>Farmer estimate</t>
  </si>
  <si>
    <t>Table 1 based on farmer estimate of grain yield</t>
  </si>
  <si>
    <t>Farmer estimate based on field conditions</t>
  </si>
  <si>
    <t>Table 3 based on storage structure</t>
  </si>
  <si>
    <t>Local market conditions</t>
  </si>
  <si>
    <t>Table 2 calculations with local fertilizer prices</t>
  </si>
  <si>
    <t>Source: Preventing Silage Storage Losses (Table 1) by Brian Holmes and Richard Muck, University of Wisconsin. 2000.</t>
  </si>
  <si>
    <t>Breakeven price for corn grain</t>
  </si>
  <si>
    <t>User override of storage loss estimate</t>
  </si>
  <si>
    <t>Add:value lost in storage</t>
  </si>
  <si>
    <t>Add: annual supplies (bags, covers, etc.)</t>
  </si>
  <si>
    <t>Breakeven price of standing crop</t>
  </si>
  <si>
    <t>Breakeven price of silage delivered to storage</t>
  </si>
  <si>
    <t>Updated: 12/2020</t>
  </si>
  <si>
    <t>Cost of silage delivered to feed bunk</t>
  </si>
  <si>
    <t>Table 1. Relationship of grain and silage yields</t>
  </si>
  <si>
    <t>percent</t>
  </si>
  <si>
    <t>Covered stack</t>
  </si>
  <si>
    <t>Uncovered stack</t>
  </si>
  <si>
    <t>Covered trench or bunker</t>
  </si>
  <si>
    <t>Uncovered trench or bunker</t>
  </si>
  <si>
    <t>Wrapped bales</t>
  </si>
  <si>
    <t>Estimated storage loss</t>
  </si>
  <si>
    <t>Storage structure</t>
  </si>
  <si>
    <t>The silage value estimation of on the next tab uses farmer supplied crop and market conditions to estimate the value of silage at three different pricing points. For more explanation on silage valuation, see MU Guide 4591, "Pricing Silage" by Ray Massey and Joe Horner.</t>
  </si>
  <si>
    <t>Cell B8 has a dropdown of various storages</t>
  </si>
  <si>
    <t>Farmer estimate, leave blank if value in cell C9</t>
  </si>
  <si>
    <t xml:space="preserve">     is to be used.</t>
  </si>
  <si>
    <t>Custom rates or farmer records</t>
  </si>
  <si>
    <t>Farmer estimate based on distance</t>
  </si>
  <si>
    <t>Wheat for grain</t>
  </si>
  <si>
    <t>Wheat silage</t>
  </si>
  <si>
    <t>Price of #2 wheat</t>
  </si>
  <si>
    <t>Wheat combining cost</t>
  </si>
  <si>
    <t>Silage baleage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</si>
</sst>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9" x14ac:knownFonts="1">
    <font>
      <sz val="12"/>
      <name val="Arial"/>
    </font>
    <font>
      <sz val="12"/>
      <name val="Arial"/>
      <family val="2"/>
    </font>
    <font>
      <b/>
      <sz val="12"/>
      <name val="Arial"/>
      <family val="2"/>
    </font>
    <font>
      <sz val="10"/>
      <name val="Arial"/>
      <family val="2"/>
    </font>
    <font>
      <b/>
      <sz val="10"/>
      <name val="Arial"/>
      <family val="2"/>
    </font>
    <font>
      <sz val="8"/>
      <name val="Arial"/>
      <family val="2"/>
    </font>
    <font>
      <sz val="12"/>
      <color theme="0"/>
      <name val="Arial"/>
      <family val="2"/>
    </font>
    <font>
      <sz val="10"/>
      <color theme="3" tint="-0.499984740745262"/>
      <name val="Arial"/>
      <family val="2"/>
    </font>
    <font>
      <b/>
      <sz val="16"/>
      <color theme="0"/>
      <name val="Arial"/>
      <family val="2"/>
    </font>
    <font>
      <b/>
      <sz val="10"/>
      <color theme="0"/>
      <name val="Arial"/>
      <family val="2"/>
    </font>
    <font>
      <sz val="12"/>
      <color theme="1"/>
      <name val="Arial"/>
      <family val="2"/>
    </font>
    <font>
      <b/>
      <sz val="12"/>
      <color theme="0"/>
      <name val="Arial"/>
      <family val="2"/>
    </font>
    <font>
      <b/>
      <sz val="12"/>
      <color theme="1"/>
      <name val="Arial"/>
      <family val="2"/>
    </font>
    <font>
      <b/>
      <u/>
      <sz val="12"/>
      <name val="Arial"/>
      <family val="2"/>
    </font>
    <font>
      <sz val="12"/>
      <color theme="3" tint="-0.499984740745262"/>
      <name val="Arial"/>
      <family val="2"/>
    </font>
    <font>
      <b/>
      <i/>
      <sz val="12"/>
      <name val="Arial"/>
      <family val="2"/>
    </font>
    <font>
      <u/>
      <sz val="12"/>
      <name val="Arial"/>
      <family val="2"/>
    </font>
    <font>
      <b/>
      <vertAlign val="subscript"/>
      <sz val="12"/>
      <name val="Arial"/>
      <family val="2"/>
    </font>
    <font>
      <b/>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1"/>
        <bgColor indexed="64"/>
      </patternFill>
    </fill>
    <fill>
      <patternFill patternType="solid">
        <fgColor theme="3"/>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8" tint="0.39997558519241921"/>
        <bgColor indexed="64"/>
      </patternFill>
    </fill>
  </fills>
  <borders count="22">
    <border>
      <left/>
      <right/>
      <top/>
      <bottom/>
      <diagonal/>
    </border>
    <border>
      <left/>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thin">
        <color indexed="64"/>
      </bottom>
      <diagonal/>
    </border>
    <border>
      <left style="thin">
        <color theme="0"/>
      </left>
      <right/>
      <top/>
      <bottom style="thin">
        <color indexed="64"/>
      </bottom>
      <diagonal/>
    </border>
    <border>
      <left style="thin">
        <color theme="0"/>
      </left>
      <right/>
      <top/>
      <bottom/>
      <diagonal/>
    </border>
    <border>
      <left style="thin">
        <color theme="0"/>
      </left>
      <right/>
      <top style="thin">
        <color theme="0"/>
      </top>
      <bottom/>
      <diagonal/>
    </border>
    <border>
      <left/>
      <right/>
      <top style="thin">
        <color indexed="64"/>
      </top>
      <bottom style="thin">
        <color indexed="64"/>
      </bottom>
      <diagonal/>
    </border>
    <border>
      <left style="thin">
        <color theme="0"/>
      </left>
      <right style="thin">
        <color theme="0"/>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diagonal/>
    </border>
  </borders>
  <cellStyleXfs count="4">
    <xf numFmtId="0" fontId="0" fillId="0" borderId="0"/>
    <xf numFmtId="44" fontId="1" fillId="0" borderId="0" applyFont="0" applyFill="0" applyBorder="0" applyAlignment="0" applyProtection="0"/>
    <xf numFmtId="0" fontId="3" fillId="0" borderId="0"/>
    <xf numFmtId="0" fontId="1" fillId="0" borderId="0"/>
  </cellStyleXfs>
  <cellXfs count="147">
    <xf numFmtId="0" fontId="0" fillId="0" borderId="0" xfId="0"/>
    <xf numFmtId="0" fontId="3" fillId="0" borderId="0" xfId="0" applyFont="1" applyFill="1" applyBorder="1"/>
    <xf numFmtId="0" fontId="0" fillId="0" borderId="0" xfId="0" applyBorder="1"/>
    <xf numFmtId="0" fontId="0" fillId="2" borderId="0" xfId="0" applyFill="1" applyBorder="1"/>
    <xf numFmtId="0" fontId="3" fillId="0" borderId="0" xfId="0" applyFont="1" applyBorder="1"/>
    <xf numFmtId="0" fontId="3" fillId="0" borderId="0" xfId="0" applyFont="1"/>
    <xf numFmtId="44" fontId="0" fillId="2" borderId="0" xfId="0" applyNumberFormat="1" applyFill="1" applyBorder="1"/>
    <xf numFmtId="0" fontId="4" fillId="2" borderId="0" xfId="0" applyFont="1" applyFill="1" applyAlignment="1">
      <alignment horizontal="left" indent="5"/>
    </xf>
    <xf numFmtId="0" fontId="7" fillId="4" borderId="2" xfId="2" applyFont="1" applyFill="1" applyBorder="1" applyAlignment="1" applyProtection="1">
      <alignment horizontal="center" vertical="top" wrapText="1"/>
      <protection locked="0"/>
    </xf>
    <xf numFmtId="0" fontId="5" fillId="0" borderId="0" xfId="0" applyFont="1" applyAlignment="1">
      <alignment horizontal="right"/>
    </xf>
    <xf numFmtId="0" fontId="4" fillId="2" borderId="0" xfId="0" quotePrefix="1" applyFont="1" applyFill="1" applyAlignment="1">
      <alignment horizontal="left"/>
    </xf>
    <xf numFmtId="0" fontId="4" fillId="2" borderId="0" xfId="0" quotePrefix="1" applyFont="1" applyFill="1" applyAlignment="1"/>
    <xf numFmtId="0" fontId="4" fillId="0" borderId="0" xfId="0" applyFont="1"/>
    <xf numFmtId="0" fontId="1" fillId="0" borderId="0" xfId="0" applyFont="1"/>
    <xf numFmtId="0" fontId="1" fillId="0" borderId="0" xfId="0" applyFont="1" applyFill="1" applyBorder="1"/>
    <xf numFmtId="0" fontId="1" fillId="0" borderId="0" xfId="0" applyFont="1" applyBorder="1"/>
    <xf numFmtId="0" fontId="1" fillId="0" borderId="0" xfId="0" applyFont="1" applyFill="1" applyBorder="1" applyAlignment="1">
      <alignment horizontal="left"/>
    </xf>
    <xf numFmtId="0" fontId="1" fillId="0" borderId="0" xfId="0" applyFont="1" applyFill="1"/>
    <xf numFmtId="0" fontId="15" fillId="0" borderId="0" xfId="0" applyFont="1"/>
    <xf numFmtId="8" fontId="1" fillId="0" borderId="0" xfId="0" applyNumberFormat="1" applyFont="1"/>
    <xf numFmtId="8" fontId="14" fillId="3" borderId="1" xfId="1" applyNumberFormat="1" applyFont="1" applyFill="1" applyBorder="1" applyProtection="1">
      <protection locked="0"/>
    </xf>
    <xf numFmtId="0" fontId="2" fillId="0" borderId="4" xfId="0" applyFont="1" applyBorder="1"/>
    <xf numFmtId="0" fontId="2" fillId="0" borderId="4" xfId="0" applyFont="1" applyBorder="1" applyAlignment="1">
      <alignment horizontal="right"/>
    </xf>
    <xf numFmtId="0" fontId="2" fillId="0" borderId="5" xfId="0" applyFont="1" applyBorder="1"/>
    <xf numFmtId="0" fontId="2" fillId="0" borderId="5" xfId="0" applyFont="1" applyBorder="1" applyAlignment="1">
      <alignment horizontal="right"/>
    </xf>
    <xf numFmtId="0" fontId="10" fillId="0" borderId="5" xfId="0" applyFont="1" applyBorder="1"/>
    <xf numFmtId="0" fontId="10" fillId="4" borderId="5" xfId="0" applyFont="1" applyFill="1" applyBorder="1" applyProtection="1">
      <protection locked="0"/>
    </xf>
    <xf numFmtId="0" fontId="10" fillId="0" borderId="6" xfId="0" applyFont="1" applyBorder="1"/>
    <xf numFmtId="0" fontId="10" fillId="4" borderId="6" xfId="0" applyFont="1" applyFill="1" applyBorder="1" applyProtection="1">
      <protection locked="0"/>
    </xf>
    <xf numFmtId="0" fontId="1" fillId="0" borderId="3" xfId="0" applyFont="1" applyBorder="1"/>
    <xf numFmtId="8" fontId="1" fillId="0" borderId="3" xfId="0" applyNumberFormat="1" applyFont="1" applyBorder="1"/>
    <xf numFmtId="44" fontId="1" fillId="0" borderId="0" xfId="0" applyNumberFormat="1" applyFont="1" applyFill="1"/>
    <xf numFmtId="9" fontId="1" fillId="0" borderId="0" xfId="0" applyNumberFormat="1" applyFont="1" applyFill="1"/>
    <xf numFmtId="0" fontId="1" fillId="0" borderId="0" xfId="0" applyFont="1" applyAlignment="1">
      <alignment horizontal="left" indent="1"/>
    </xf>
    <xf numFmtId="8" fontId="14" fillId="0" borderId="0" xfId="1" applyNumberFormat="1" applyFont="1" applyFill="1" applyBorder="1" applyProtection="1">
      <protection locked="0"/>
    </xf>
    <xf numFmtId="9" fontId="14" fillId="0" borderId="0" xfId="1" applyNumberFormat="1" applyFont="1" applyFill="1" applyBorder="1" applyProtection="1">
      <protection locked="0"/>
    </xf>
    <xf numFmtId="2" fontId="1" fillId="0" borderId="0" xfId="0" applyNumberFormat="1" applyFont="1" applyFill="1" applyBorder="1"/>
    <xf numFmtId="9" fontId="1" fillId="0" borderId="0" xfId="0" applyNumberFormat="1" applyFont="1" applyFill="1" applyBorder="1" applyAlignment="1">
      <alignment horizontal="center"/>
    </xf>
    <xf numFmtId="8" fontId="0" fillId="0" borderId="0" xfId="0" applyNumberFormat="1"/>
    <xf numFmtId="3" fontId="0" fillId="0" borderId="0" xfId="0" applyNumberFormat="1"/>
    <xf numFmtId="0" fontId="1" fillId="0" borderId="0" xfId="0" applyFont="1" applyAlignment="1">
      <alignment horizontal="left"/>
    </xf>
    <xf numFmtId="8" fontId="14" fillId="0" borderId="1" xfId="1" applyNumberFormat="1" applyFont="1" applyFill="1" applyBorder="1" applyProtection="1">
      <protection locked="0"/>
    </xf>
    <xf numFmtId="9" fontId="14" fillId="3" borderId="1" xfId="1" applyNumberFormat="1" applyFont="1" applyFill="1" applyBorder="1" applyProtection="1">
      <protection locked="0"/>
    </xf>
    <xf numFmtId="3" fontId="14" fillId="3" borderId="1" xfId="1" applyNumberFormat="1" applyFont="1" applyFill="1" applyBorder="1" applyProtection="1">
      <protection locked="0"/>
    </xf>
    <xf numFmtId="165" fontId="14" fillId="0" borderId="0" xfId="1" applyNumberFormat="1" applyFont="1" applyFill="1" applyBorder="1" applyProtection="1">
      <protection locked="0"/>
    </xf>
    <xf numFmtId="8" fontId="10" fillId="4" borderId="6" xfId="0" applyNumberFormat="1" applyFont="1" applyFill="1" applyBorder="1" applyProtection="1">
      <protection locked="0"/>
    </xf>
    <xf numFmtId="0" fontId="10" fillId="0" borderId="0" xfId="0" applyFont="1" applyBorder="1"/>
    <xf numFmtId="0" fontId="10" fillId="7" borderId="0" xfId="0" applyFont="1" applyFill="1" applyBorder="1"/>
    <xf numFmtId="0" fontId="10" fillId="0" borderId="3" xfId="0" applyFont="1" applyBorder="1"/>
    <xf numFmtId="9" fontId="10" fillId="7" borderId="0" xfId="0" applyNumberFormat="1" applyFont="1" applyFill="1" applyBorder="1"/>
    <xf numFmtId="0" fontId="10" fillId="7" borderId="9" xfId="0" applyFont="1" applyFill="1" applyBorder="1" applyAlignment="1">
      <alignment horizontal="right"/>
    </xf>
    <xf numFmtId="0" fontId="10" fillId="7" borderId="9" xfId="0" applyFont="1" applyFill="1" applyBorder="1"/>
    <xf numFmtId="0" fontId="10" fillId="0" borderId="0" xfId="0" applyFont="1" applyBorder="1" applyAlignment="1">
      <alignment horizontal="right"/>
    </xf>
    <xf numFmtId="0" fontId="10" fillId="7" borderId="0" xfId="0" applyFont="1" applyFill="1" applyBorder="1" applyAlignment="1">
      <alignment horizontal="right"/>
    </xf>
    <xf numFmtId="0" fontId="10" fillId="7" borderId="3" xfId="0" applyFont="1" applyFill="1" applyBorder="1" applyAlignment="1">
      <alignment horizontal="right"/>
    </xf>
    <xf numFmtId="0" fontId="10" fillId="7" borderId="3" xfId="0" applyFont="1" applyFill="1" applyBorder="1"/>
    <xf numFmtId="0" fontId="10" fillId="7" borderId="3" xfId="0" applyFont="1" applyFill="1" applyBorder="1" applyAlignment="1">
      <alignment horizontal="right" wrapText="1"/>
    </xf>
    <xf numFmtId="0" fontId="10" fillId="0" borderId="3" xfId="0" applyFont="1" applyBorder="1" applyAlignment="1">
      <alignment horizontal="right"/>
    </xf>
    <xf numFmtId="0" fontId="10" fillId="0" borderId="0" xfId="0" applyFont="1" applyFill="1" applyBorder="1" applyAlignment="1">
      <alignment vertical="center"/>
    </xf>
    <xf numFmtId="0" fontId="2" fillId="0" borderId="7" xfId="0" applyFont="1" applyBorder="1"/>
    <xf numFmtId="8" fontId="2" fillId="0" borderId="7" xfId="0" applyNumberFormat="1" applyFont="1" applyBorder="1"/>
    <xf numFmtId="0" fontId="0" fillId="2" borderId="9" xfId="0" applyFill="1" applyBorder="1"/>
    <xf numFmtId="0" fontId="4" fillId="2" borderId="0" xfId="0" applyFont="1" applyFill="1" applyAlignment="1">
      <alignment horizontal="left" wrapText="1" indent="5"/>
    </xf>
    <xf numFmtId="44" fontId="1" fillId="0" borderId="0" xfId="0" applyNumberFormat="1" applyFont="1" applyFill="1" applyBorder="1"/>
    <xf numFmtId="0" fontId="11" fillId="0" borderId="0" xfId="0" applyFont="1" applyFill="1" applyBorder="1" applyAlignment="1">
      <alignment horizontal="left"/>
    </xf>
    <xf numFmtId="9" fontId="0" fillId="0" borderId="0" xfId="0" applyNumberFormat="1"/>
    <xf numFmtId="9" fontId="6" fillId="0" borderId="0" xfId="0" applyNumberFormat="1" applyFont="1"/>
    <xf numFmtId="0" fontId="0" fillId="0" borderId="0" xfId="0" applyFill="1" applyBorder="1"/>
    <xf numFmtId="9" fontId="1" fillId="0" borderId="0" xfId="0" quotePrefix="1" applyNumberFormat="1" applyFont="1" applyFill="1" applyBorder="1" applyAlignment="1">
      <alignment horizontal="center"/>
    </xf>
    <xf numFmtId="0" fontId="2" fillId="0" borderId="0" xfId="0" applyFont="1" applyFill="1" applyBorder="1" applyAlignment="1">
      <alignment horizontal="center" wrapText="1"/>
    </xf>
    <xf numFmtId="0" fontId="11" fillId="5" borderId="0" xfId="0" applyFont="1" applyFill="1" applyAlignment="1">
      <alignment horizontal="left"/>
    </xf>
    <xf numFmtId="0" fontId="13" fillId="0" borderId="0" xfId="0" applyFont="1" applyAlignment="1">
      <alignment horizontal="center"/>
    </xf>
    <xf numFmtId="0" fontId="11" fillId="6" borderId="10" xfId="0" applyFont="1" applyFill="1" applyBorder="1" applyAlignment="1">
      <alignment horizontal="left"/>
    </xf>
    <xf numFmtId="0" fontId="2" fillId="0" borderId="12" xfId="0" applyFont="1" applyFill="1" applyBorder="1" applyAlignment="1">
      <alignment horizontal="center" wrapText="1"/>
    </xf>
    <xf numFmtId="1" fontId="1" fillId="0" borderId="14" xfId="0" applyNumberFormat="1" applyFont="1" applyBorder="1" applyAlignment="1">
      <alignment horizontal="center"/>
    </xf>
    <xf numFmtId="1" fontId="1" fillId="0" borderId="0" xfId="0" applyNumberFormat="1" applyFont="1" applyBorder="1" applyAlignment="1">
      <alignment horizontal="center"/>
    </xf>
    <xf numFmtId="0" fontId="1" fillId="0" borderId="15" xfId="0" applyFont="1" applyBorder="1" applyAlignment="1">
      <alignment horizontal="center"/>
    </xf>
    <xf numFmtId="0" fontId="2" fillId="0" borderId="18" xfId="0" applyFont="1" applyFill="1" applyBorder="1" applyAlignment="1">
      <alignment horizontal="center" wrapText="1"/>
    </xf>
    <xf numFmtId="0" fontId="11" fillId="6" borderId="19" xfId="0" applyFont="1" applyFill="1" applyBorder="1" applyAlignment="1">
      <alignment horizontal="left"/>
    </xf>
    <xf numFmtId="0" fontId="1" fillId="6" borderId="7" xfId="0" applyFont="1" applyFill="1" applyBorder="1" applyAlignment="1">
      <alignment horizontal="center"/>
    </xf>
    <xf numFmtId="0" fontId="1" fillId="6" borderId="20" xfId="0" applyFont="1" applyFill="1" applyBorder="1" applyAlignment="1">
      <alignment horizontal="center"/>
    </xf>
    <xf numFmtId="0" fontId="16" fillId="0" borderId="10" xfId="0" applyFont="1" applyBorder="1" applyAlignment="1">
      <alignment horizontal="center"/>
    </xf>
    <xf numFmtId="0" fontId="16" fillId="0" borderId="9" xfId="0" applyFont="1" applyBorder="1" applyAlignment="1">
      <alignment horizontal="center"/>
    </xf>
    <xf numFmtId="0" fontId="16" fillId="0" borderId="11" xfId="0" applyFont="1" applyBorder="1" applyAlignment="1">
      <alignment horizontal="center"/>
    </xf>
    <xf numFmtId="0" fontId="1" fillId="0" borderId="8" xfId="0" applyFont="1" applyFill="1" applyBorder="1" applyAlignment="1">
      <alignment horizontal="center" wrapText="1"/>
    </xf>
    <xf numFmtId="0" fontId="1" fillId="0" borderId="13" xfId="0" applyFont="1" applyFill="1" applyBorder="1" applyAlignment="1">
      <alignment horizontal="center" wrapText="1"/>
    </xf>
    <xf numFmtId="0" fontId="11" fillId="6" borderId="9" xfId="0" applyFont="1" applyFill="1" applyBorder="1" applyAlignment="1">
      <alignment horizontal="left" wrapText="1"/>
    </xf>
    <xf numFmtId="0" fontId="11" fillId="6" borderId="11" xfId="0" applyFont="1" applyFill="1" applyBorder="1" applyAlignment="1">
      <alignment horizontal="left" wrapText="1"/>
    </xf>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2" fillId="0" borderId="16" xfId="0" applyFont="1" applyBorder="1"/>
    <xf numFmtId="0" fontId="1" fillId="0" borderId="15" xfId="0" applyFont="1" applyBorder="1"/>
    <xf numFmtId="0" fontId="16" fillId="0" borderId="14" xfId="0" applyFont="1" applyBorder="1"/>
    <xf numFmtId="0" fontId="10" fillId="0" borderId="14" xfId="0" applyFont="1" applyBorder="1" applyAlignment="1">
      <alignment horizontal="left" indent="1"/>
    </xf>
    <xf numFmtId="0" fontId="10" fillId="0" borderId="21" xfId="0" applyFont="1" applyBorder="1" applyAlignment="1">
      <alignment horizontal="left" indent="1"/>
    </xf>
    <xf numFmtId="0" fontId="1" fillId="0" borderId="14" xfId="0" applyFont="1" applyBorder="1"/>
    <xf numFmtId="0" fontId="1" fillId="0" borderId="0" xfId="0" applyFont="1" applyFill="1" applyBorder="1" applyProtection="1">
      <protection locked="0"/>
    </xf>
    <xf numFmtId="164" fontId="1" fillId="0" borderId="0" xfId="0" applyNumberFormat="1" applyFont="1" applyBorder="1"/>
    <xf numFmtId="164" fontId="16" fillId="0" borderId="0" xfId="0" applyNumberFormat="1" applyFont="1" applyBorder="1"/>
    <xf numFmtId="8" fontId="1" fillId="0" borderId="0" xfId="0" applyNumberFormat="1" applyFont="1" applyBorder="1"/>
    <xf numFmtId="8" fontId="1" fillId="0" borderId="15" xfId="0" applyNumberFormat="1" applyFont="1" applyBorder="1"/>
    <xf numFmtId="0" fontId="1" fillId="0" borderId="16" xfId="0" applyFont="1" applyBorder="1"/>
    <xf numFmtId="0" fontId="10" fillId="0" borderId="9" xfId="0" applyFont="1" applyBorder="1" applyAlignment="1">
      <alignment horizontal="center"/>
    </xf>
    <xf numFmtId="0" fontId="11" fillId="6" borderId="9" xfId="0" applyFont="1" applyFill="1" applyBorder="1" applyAlignment="1">
      <alignment horizontal="left"/>
    </xf>
    <xf numFmtId="0" fontId="11" fillId="6" borderId="11" xfId="0" applyFont="1" applyFill="1" applyBorder="1" applyAlignment="1">
      <alignment horizontal="left"/>
    </xf>
    <xf numFmtId="0" fontId="10" fillId="0" borderId="10" xfId="0" applyFont="1" applyBorder="1" applyAlignment="1">
      <alignment horizontal="center"/>
    </xf>
    <xf numFmtId="0" fontId="10" fillId="0" borderId="11" xfId="0" applyFont="1" applyBorder="1" applyAlignment="1">
      <alignment horizontal="center"/>
    </xf>
    <xf numFmtId="0" fontId="12" fillId="7" borderId="10" xfId="0" applyFont="1" applyFill="1" applyBorder="1" applyAlignment="1">
      <alignment vertical="center" wrapText="1"/>
    </xf>
    <xf numFmtId="0" fontId="10" fillId="7" borderId="11" xfId="0" applyFont="1" applyFill="1" applyBorder="1"/>
    <xf numFmtId="0" fontId="12" fillId="0" borderId="14" xfId="0" applyFont="1" applyBorder="1" applyAlignment="1">
      <alignment vertical="center" wrapText="1"/>
    </xf>
    <xf numFmtId="0" fontId="10" fillId="0" borderId="15" xfId="0" applyFont="1" applyBorder="1"/>
    <xf numFmtId="0" fontId="12" fillId="7" borderId="14" xfId="0" applyFont="1" applyFill="1" applyBorder="1" applyAlignment="1">
      <alignment vertical="center" wrapText="1"/>
    </xf>
    <xf numFmtId="0" fontId="10" fillId="7" borderId="15" xfId="0" applyFont="1" applyFill="1" applyBorder="1"/>
    <xf numFmtId="0" fontId="12" fillId="7" borderId="16" xfId="0" applyFont="1" applyFill="1" applyBorder="1" applyAlignment="1">
      <alignment vertical="center" wrapText="1"/>
    </xf>
    <xf numFmtId="0" fontId="10" fillId="7" borderId="17" xfId="0" applyFont="1" applyFill="1" applyBorder="1"/>
    <xf numFmtId="0" fontId="12" fillId="0" borderId="14" xfId="0" applyFont="1" applyBorder="1" applyAlignment="1">
      <alignment vertical="center"/>
    </xf>
    <xf numFmtId="0" fontId="12" fillId="7" borderId="16" xfId="0" applyFont="1" applyFill="1" applyBorder="1" applyAlignment="1">
      <alignment vertical="center"/>
    </xf>
    <xf numFmtId="0" fontId="12" fillId="7" borderId="14" xfId="0" applyFont="1" applyFill="1" applyBorder="1" applyAlignment="1">
      <alignment vertical="center"/>
    </xf>
    <xf numFmtId="0" fontId="12" fillId="0" borderId="16" xfId="0" applyFont="1" applyBorder="1" applyAlignment="1">
      <alignment vertical="center"/>
    </xf>
    <xf numFmtId="0" fontId="10" fillId="0" borderId="17" xfId="0" applyFont="1" applyBorder="1"/>
    <xf numFmtId="0" fontId="12" fillId="0" borderId="16" xfId="0" applyFont="1" applyBorder="1" applyAlignment="1">
      <alignment vertical="center" wrapText="1"/>
    </xf>
    <xf numFmtId="0" fontId="10" fillId="0" borderId="14" xfId="0" applyFont="1" applyBorder="1"/>
    <xf numFmtId="9" fontId="10" fillId="0" borderId="0" xfId="0" applyNumberFormat="1" applyFont="1" applyBorder="1"/>
    <xf numFmtId="9" fontId="10" fillId="0" borderId="15" xfId="0" applyNumberFormat="1" applyFont="1" applyBorder="1"/>
    <xf numFmtId="0" fontId="10" fillId="7" borderId="14" xfId="0" applyFont="1" applyFill="1" applyBorder="1"/>
    <xf numFmtId="9" fontId="10" fillId="7" borderId="15" xfId="0" applyNumberFormat="1" applyFont="1" applyFill="1" applyBorder="1"/>
    <xf numFmtId="0" fontId="10" fillId="0" borderId="16" xfId="0" applyFont="1" applyBorder="1"/>
    <xf numFmtId="9" fontId="10" fillId="0" borderId="3" xfId="0" applyNumberFormat="1" applyFont="1" applyBorder="1"/>
    <xf numFmtId="9" fontId="10" fillId="0" borderId="17" xfId="0" applyNumberFormat="1" applyFont="1" applyBorder="1"/>
    <xf numFmtId="0" fontId="18" fillId="0" borderId="19" xfId="0" applyFont="1" applyBorder="1"/>
    <xf numFmtId="0" fontId="18" fillId="0" borderId="7" xfId="0" applyFont="1" applyBorder="1"/>
    <xf numFmtId="0" fontId="18" fillId="0" borderId="20" xfId="0" applyFont="1" applyBorder="1"/>
    <xf numFmtId="1" fontId="1" fillId="8" borderId="14" xfId="0" applyNumberFormat="1" applyFont="1" applyFill="1" applyBorder="1" applyAlignment="1">
      <alignment horizontal="center"/>
    </xf>
    <xf numFmtId="1" fontId="1" fillId="8" borderId="0" xfId="0" applyNumberFormat="1" applyFont="1" applyFill="1" applyBorder="1" applyAlignment="1">
      <alignment horizontal="center"/>
    </xf>
    <xf numFmtId="0" fontId="1" fillId="8" borderId="15" xfId="0" applyFont="1" applyFill="1" applyBorder="1" applyAlignment="1">
      <alignment horizontal="center"/>
    </xf>
    <xf numFmtId="1" fontId="1" fillId="8" borderId="16" xfId="0" applyNumberFormat="1" applyFont="1" applyFill="1" applyBorder="1" applyAlignment="1">
      <alignment horizontal="center"/>
    </xf>
    <xf numFmtId="1" fontId="1" fillId="8" borderId="3" xfId="0" applyNumberFormat="1" applyFont="1" applyFill="1" applyBorder="1" applyAlignment="1">
      <alignment horizontal="center"/>
    </xf>
    <xf numFmtId="0" fontId="1" fillId="8" borderId="17" xfId="0" applyFont="1" applyFill="1" applyBorder="1" applyAlignment="1">
      <alignment horizontal="center"/>
    </xf>
    <xf numFmtId="8" fontId="2" fillId="9" borderId="17" xfId="0" applyNumberFormat="1" applyFont="1" applyFill="1" applyBorder="1"/>
    <xf numFmtId="0" fontId="0" fillId="4" borderId="0" xfId="0" applyFill="1" applyProtection="1">
      <protection locked="0"/>
    </xf>
    <xf numFmtId="0" fontId="8" fillId="5" borderId="0" xfId="0" applyFont="1" applyFill="1" applyBorder="1" applyAlignment="1">
      <alignment horizontal="center"/>
    </xf>
    <xf numFmtId="0" fontId="8" fillId="5" borderId="0" xfId="0" quotePrefix="1" applyFont="1" applyFill="1" applyBorder="1" applyAlignment="1">
      <alignment horizontal="center"/>
    </xf>
    <xf numFmtId="0" fontId="9" fillId="5" borderId="0" xfId="0" quotePrefix="1" applyFont="1" applyFill="1" applyBorder="1" applyAlignment="1">
      <alignment horizontal="center"/>
    </xf>
    <xf numFmtId="0" fontId="11" fillId="5" borderId="0" xfId="0" applyFont="1" applyFill="1" applyAlignment="1">
      <alignment horizontal="center"/>
    </xf>
    <xf numFmtId="0" fontId="2" fillId="0" borderId="5" xfId="0" applyFont="1" applyFill="1" applyBorder="1" applyAlignment="1">
      <alignment horizontal="center" wrapText="1"/>
    </xf>
    <xf numFmtId="0" fontId="1" fillId="0" borderId="15" xfId="0" applyFont="1" applyBorder="1" applyAlignment="1">
      <alignment horizontal="center" wrapText="1"/>
    </xf>
  </cellXfs>
  <cellStyles count="4">
    <cellStyle name="Currency" xfId="1" builtinId="4"/>
    <cellStyle name="Normal" xfId="0" builtinId="0"/>
    <cellStyle name="Normal 2" xfId="2" xr:uid="{00000000-0005-0000-0000-000002000000}"/>
    <cellStyle name="Normal 3" xfId="3" xr:uid="{527FF94A-11DB-4999-B0EE-8CADF51327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3467100</xdr:colOff>
      <xdr:row>4</xdr:row>
      <xdr:rowOff>0</xdr:rowOff>
    </xdr:from>
    <xdr:to>
      <xdr:col>2</xdr:col>
      <xdr:colOff>6324600</xdr:colOff>
      <xdr:row>8</xdr:row>
      <xdr:rowOff>76200</xdr:rowOff>
    </xdr:to>
    <xdr:pic>
      <xdr:nvPicPr>
        <xdr:cNvPr id="5" name="Picture 4">
          <a:extLst>
            <a:ext uri="{FF2B5EF4-FFF2-40B4-BE49-F238E27FC236}">
              <a16:creationId xmlns:a16="http://schemas.microsoft.com/office/drawing/2014/main" id="{10F9C07C-171F-4CAC-8AF9-F9C7F36276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3350" y="742950"/>
          <a:ext cx="2857500"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24</xdr:col>
      <xdr:colOff>131064</xdr:colOff>
      <xdr:row>52</xdr:row>
      <xdr:rowOff>74962</xdr:rowOff>
    </xdr:to>
    <xdr:pic>
      <xdr:nvPicPr>
        <xdr:cNvPr id="3" name="Picture 2">
          <a:extLst>
            <a:ext uri="{FF2B5EF4-FFF2-40B4-BE49-F238E27FC236}">
              <a16:creationId xmlns:a16="http://schemas.microsoft.com/office/drawing/2014/main" id="{C8723B89-27D2-4993-B945-57746FFF9B9D}"/>
            </a:ext>
          </a:extLst>
        </xdr:cNvPr>
        <xdr:cNvPicPr>
          <a:picLocks noChangeAspect="1"/>
        </xdr:cNvPicPr>
      </xdr:nvPicPr>
      <xdr:blipFill>
        <a:blip xmlns:r="http://schemas.openxmlformats.org/officeDocument/2006/relationships" r:embed="rId1"/>
        <a:stretch>
          <a:fillRect/>
        </a:stretch>
      </xdr:blipFill>
      <xdr:spPr>
        <a:xfrm>
          <a:off x="133350" y="76200"/>
          <a:ext cx="18285714" cy="99047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9"/>
  <sheetViews>
    <sheetView showGridLines="0" zoomScaleNormal="100" workbookViewId="0"/>
  </sheetViews>
  <sheetFormatPr baseColWidth="10" defaultColWidth="8.7109375" defaultRowHeight="16" x14ac:dyDescent="0.2"/>
  <cols>
    <col min="1" max="1" width="3.28515625" customWidth="1"/>
    <col min="2" max="2" width="2.28515625" customWidth="1"/>
    <col min="3" max="3" width="74.85546875" customWidth="1"/>
    <col min="4" max="4" width="2.28515625" customWidth="1"/>
  </cols>
  <sheetData>
    <row r="1" spans="1:6" ht="12.75" customHeight="1" x14ac:dyDescent="0.2"/>
    <row r="2" spans="1:6" ht="20" x14ac:dyDescent="0.2">
      <c r="B2" s="141" t="s">
        <v>4</v>
      </c>
      <c r="C2" s="142"/>
      <c r="D2" s="142"/>
      <c r="E2" s="5"/>
    </row>
    <row r="3" spans="1:6" ht="12.75" customHeight="1" x14ac:dyDescent="0.2">
      <c r="C3" s="9" t="s">
        <v>102</v>
      </c>
      <c r="D3" s="1"/>
      <c r="E3" s="1"/>
    </row>
    <row r="4" spans="1:6" ht="12.75" customHeight="1" x14ac:dyDescent="0.2">
      <c r="D4" s="1"/>
      <c r="E4" s="1"/>
    </row>
    <row r="5" spans="1:6" ht="12.75" customHeight="1" x14ac:dyDescent="0.2">
      <c r="C5" s="11" t="s">
        <v>17</v>
      </c>
      <c r="D5" s="4"/>
      <c r="E5" s="4"/>
    </row>
    <row r="6" spans="1:6" ht="12.75" customHeight="1" x14ac:dyDescent="0.2">
      <c r="C6" s="10" t="s">
        <v>14</v>
      </c>
      <c r="D6" s="5"/>
      <c r="E6" s="5"/>
    </row>
    <row r="7" spans="1:6" ht="12.75" customHeight="1" x14ac:dyDescent="0.2">
      <c r="A7" s="5"/>
      <c r="B7" s="5"/>
      <c r="C7" s="10" t="s">
        <v>16</v>
      </c>
      <c r="D7" s="5"/>
      <c r="E7" s="5"/>
    </row>
    <row r="8" spans="1:6" ht="12.75" customHeight="1" x14ac:dyDescent="0.2">
      <c r="C8" s="10" t="s">
        <v>15</v>
      </c>
      <c r="E8" s="5"/>
    </row>
    <row r="9" spans="1:6" ht="12.75" customHeight="1" x14ac:dyDescent="0.2">
      <c r="C9" s="7"/>
      <c r="E9" s="5"/>
    </row>
    <row r="10" spans="1:6" ht="42.75" customHeight="1" x14ac:dyDescent="0.2">
      <c r="C10" s="62" t="s">
        <v>113</v>
      </c>
      <c r="E10" s="5"/>
    </row>
    <row r="12" spans="1:6" ht="28" x14ac:dyDescent="0.2">
      <c r="C12" s="8" t="s">
        <v>18</v>
      </c>
    </row>
    <row r="14" spans="1:6" x14ac:dyDescent="0.2">
      <c r="B14" s="143"/>
      <c r="C14" s="143"/>
      <c r="D14" s="143"/>
    </row>
    <row r="15" spans="1:6" x14ac:dyDescent="0.2">
      <c r="B15" s="2"/>
      <c r="C15" s="2"/>
      <c r="D15" s="61"/>
      <c r="E15" s="2"/>
      <c r="F15" s="3"/>
    </row>
    <row r="16" spans="1:6" x14ac:dyDescent="0.2">
      <c r="C16" s="12"/>
      <c r="D16" s="3"/>
      <c r="E16" s="2"/>
      <c r="F16" s="3"/>
    </row>
    <row r="17" spans="3:6" x14ac:dyDescent="0.2">
      <c r="C17" s="5"/>
      <c r="D17" s="3"/>
      <c r="E17" s="3"/>
      <c r="F17" s="3"/>
    </row>
    <row r="18" spans="3:6" x14ac:dyDescent="0.2">
      <c r="C18" s="5"/>
      <c r="D18" s="3"/>
      <c r="E18" s="3"/>
      <c r="F18" s="6"/>
    </row>
    <row r="19" spans="3:6" x14ac:dyDescent="0.2">
      <c r="C19" s="5"/>
    </row>
  </sheetData>
  <sheetProtection sheet="1" objects="1" scenarios="1"/>
  <mergeCells count="2">
    <mergeCell ref="B2:D2"/>
    <mergeCell ref="B14:D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DFD3-975C-4AFF-A6F5-7699AAFBFC66}">
  <dimension ref="B1:U79"/>
  <sheetViews>
    <sheetView tabSelected="1" zoomScale="85" zoomScaleNormal="85" workbookViewId="0">
      <selection activeCell="F32" sqref="F32"/>
    </sheetView>
  </sheetViews>
  <sheetFormatPr baseColWidth="10" defaultColWidth="8.7109375" defaultRowHeight="16" x14ac:dyDescent="0.2"/>
  <cols>
    <col min="1" max="1" width="1.28515625" customWidth="1"/>
    <col min="2" max="2" width="34.140625" customWidth="1"/>
    <col min="5" max="5" width="10.28515625" customWidth="1"/>
    <col min="6" max="6" width="15.28515625" customWidth="1"/>
    <col min="7" max="7" width="2.28515625" customWidth="1"/>
    <col min="8" max="8" width="40.28515625" customWidth="1"/>
    <col min="9" max="9" width="2.7109375" customWidth="1"/>
    <col min="10" max="10" width="20.7109375" customWidth="1"/>
    <col min="11" max="11" width="20.85546875" customWidth="1"/>
    <col min="12" max="12" width="15.7109375" customWidth="1"/>
    <col min="13" max="13" width="13.140625" customWidth="1"/>
    <col min="14" max="14" width="14.140625" customWidth="1"/>
    <col min="15" max="15" width="14.42578125" customWidth="1"/>
    <col min="16" max="21" width="12.7109375" customWidth="1"/>
  </cols>
  <sheetData>
    <row r="1" spans="2:16" x14ac:dyDescent="0.2">
      <c r="N1" s="67"/>
      <c r="O1" s="67"/>
      <c r="P1" s="67"/>
    </row>
    <row r="2" spans="2:16" x14ac:dyDescent="0.2">
      <c r="B2" s="144" t="s">
        <v>3</v>
      </c>
      <c r="C2" s="144"/>
      <c r="D2" s="144"/>
      <c r="E2" s="144"/>
      <c r="F2" s="144"/>
      <c r="H2" s="70" t="s">
        <v>30</v>
      </c>
      <c r="J2" s="78" t="s">
        <v>104</v>
      </c>
      <c r="K2" s="79"/>
      <c r="L2" s="80"/>
      <c r="N2" s="64"/>
      <c r="O2" s="63"/>
      <c r="P2" s="63"/>
    </row>
    <row r="3" spans="2:16" ht="16" customHeight="1" x14ac:dyDescent="0.2">
      <c r="B3" s="18" t="s">
        <v>50</v>
      </c>
      <c r="J3" s="77" t="s">
        <v>21</v>
      </c>
      <c r="K3" s="145" t="s">
        <v>22</v>
      </c>
      <c r="L3" s="146"/>
      <c r="N3" s="69"/>
      <c r="O3" s="69"/>
      <c r="P3" s="69"/>
    </row>
    <row r="4" spans="2:16" ht="16" customHeight="1" x14ac:dyDescent="0.2">
      <c r="B4" s="13" t="s">
        <v>37</v>
      </c>
      <c r="C4" s="43">
        <v>40</v>
      </c>
      <c r="D4" s="19" t="s">
        <v>0</v>
      </c>
      <c r="H4" s="13" t="s">
        <v>89</v>
      </c>
      <c r="J4" s="73"/>
      <c r="K4" s="84" t="s">
        <v>24</v>
      </c>
      <c r="L4" s="85" t="s">
        <v>23</v>
      </c>
      <c r="N4" s="69"/>
      <c r="O4" s="69"/>
      <c r="P4" s="69"/>
    </row>
    <row r="5" spans="2:16" ht="16" customHeight="1" x14ac:dyDescent="0.2">
      <c r="B5" s="13" t="s">
        <v>38</v>
      </c>
      <c r="C5" s="43">
        <v>7</v>
      </c>
      <c r="D5" s="19" t="s">
        <v>39</v>
      </c>
      <c r="H5" s="13" t="s">
        <v>90</v>
      </c>
      <c r="J5" s="81" t="s">
        <v>0</v>
      </c>
      <c r="K5" s="82" t="s">
        <v>1</v>
      </c>
      <c r="L5" s="83" t="s">
        <v>1</v>
      </c>
      <c r="N5" s="37"/>
      <c r="O5" s="37"/>
      <c r="P5" s="37"/>
    </row>
    <row r="6" spans="2:16" ht="16" customHeight="1" x14ac:dyDescent="0.2">
      <c r="B6" s="13" t="s">
        <v>40</v>
      </c>
      <c r="C6" s="42">
        <v>0.4</v>
      </c>
      <c r="D6" s="19" t="s">
        <v>105</v>
      </c>
      <c r="H6" s="13" t="s">
        <v>91</v>
      </c>
      <c r="J6" s="133">
        <v>5.7799999999999914</v>
      </c>
      <c r="K6" s="134">
        <f t="shared" ref="K6:K18" si="0">L6/$C$6</f>
        <v>5</v>
      </c>
      <c r="L6" s="135">
        <v>2</v>
      </c>
      <c r="N6" s="68"/>
      <c r="O6" s="37"/>
      <c r="P6" s="37"/>
    </row>
    <row r="7" spans="2:16" ht="16" customHeight="1" x14ac:dyDescent="0.2">
      <c r="B7" s="13" t="s">
        <v>48</v>
      </c>
      <c r="C7" s="44">
        <f>C5*C6</f>
        <v>2.8000000000000003</v>
      </c>
      <c r="D7" s="19" t="s">
        <v>49</v>
      </c>
      <c r="J7" s="74">
        <v>40.429999999999993</v>
      </c>
      <c r="K7" s="75">
        <f t="shared" si="0"/>
        <v>7.5</v>
      </c>
      <c r="L7" s="76">
        <v>3</v>
      </c>
      <c r="N7" s="37"/>
      <c r="O7" s="37"/>
      <c r="P7" s="37"/>
    </row>
    <row r="8" spans="2:16" ht="16" customHeight="1" x14ac:dyDescent="0.2">
      <c r="B8" s="140" t="s">
        <v>56</v>
      </c>
      <c r="H8" t="s">
        <v>114</v>
      </c>
      <c r="J8" s="133">
        <v>72.019999999999982</v>
      </c>
      <c r="K8" s="134">
        <f t="shared" si="0"/>
        <v>10</v>
      </c>
      <c r="L8" s="135">
        <v>4</v>
      </c>
      <c r="N8" s="67"/>
      <c r="O8" s="67"/>
      <c r="P8" s="67"/>
    </row>
    <row r="9" spans="2:16" ht="16" customHeight="1" x14ac:dyDescent="0.2">
      <c r="B9" s="33" t="s">
        <v>111</v>
      </c>
      <c r="C9" s="65">
        <f>VLOOKUP(B8,J65:M72,3,FALSE)</f>
        <v>0.115</v>
      </c>
      <c r="D9" s="66">
        <f>1-C9</f>
        <v>0.88500000000000001</v>
      </c>
      <c r="H9" s="13" t="s">
        <v>92</v>
      </c>
      <c r="J9" s="74">
        <v>100.55000000000001</v>
      </c>
      <c r="K9" s="75">
        <f t="shared" si="0"/>
        <v>12.5</v>
      </c>
      <c r="L9" s="76">
        <v>5</v>
      </c>
      <c r="N9" s="67"/>
      <c r="O9" s="67"/>
      <c r="P9" s="67"/>
    </row>
    <row r="10" spans="2:16" ht="16" customHeight="1" x14ac:dyDescent="0.2">
      <c r="B10" s="33" t="s">
        <v>97</v>
      </c>
      <c r="C10" s="42">
        <v>7.0000000000000007E-2</v>
      </c>
      <c r="D10" s="66">
        <f>1-C10</f>
        <v>0.92999999999999994</v>
      </c>
      <c r="H10" s="13" t="s">
        <v>115</v>
      </c>
      <c r="J10" s="133">
        <v>126.01999999999997</v>
      </c>
      <c r="K10" s="134">
        <f t="shared" si="0"/>
        <v>15</v>
      </c>
      <c r="L10" s="135">
        <v>6</v>
      </c>
      <c r="N10" s="67"/>
      <c r="O10" s="67"/>
      <c r="P10" s="67"/>
    </row>
    <row r="11" spans="2:16" ht="16" customHeight="1" x14ac:dyDescent="0.2">
      <c r="B11" s="13"/>
      <c r="C11" s="35"/>
      <c r="D11" s="19"/>
      <c r="H11" s="13" t="s">
        <v>116</v>
      </c>
      <c r="J11" s="74">
        <v>148.42999999999998</v>
      </c>
      <c r="K11" s="75">
        <f t="shared" si="0"/>
        <v>17.5</v>
      </c>
      <c r="L11" s="76">
        <v>7</v>
      </c>
      <c r="N11" s="67"/>
      <c r="O11" s="67"/>
      <c r="P11" s="67"/>
    </row>
    <row r="12" spans="2:16" ht="16" customHeight="1" x14ac:dyDescent="0.2">
      <c r="B12" s="18" t="s">
        <v>51</v>
      </c>
      <c r="C12" s="39"/>
      <c r="D12" s="38"/>
      <c r="J12" s="133">
        <v>167.77999999999997</v>
      </c>
      <c r="K12" s="134">
        <f t="shared" si="0"/>
        <v>20</v>
      </c>
      <c r="L12" s="135">
        <v>8</v>
      </c>
      <c r="N12" s="67"/>
      <c r="O12" s="67"/>
      <c r="P12" s="67"/>
    </row>
    <row r="13" spans="2:16" ht="16" customHeight="1" x14ac:dyDescent="0.2">
      <c r="C13" s="71" t="s">
        <v>26</v>
      </c>
      <c r="D13" s="71" t="s">
        <v>27</v>
      </c>
      <c r="E13" s="71" t="s">
        <v>43</v>
      </c>
      <c r="F13" s="71" t="s">
        <v>44</v>
      </c>
      <c r="J13" s="74">
        <v>184.07</v>
      </c>
      <c r="K13" s="75">
        <f t="shared" si="0"/>
        <v>22.5</v>
      </c>
      <c r="L13" s="76">
        <v>9</v>
      </c>
    </row>
    <row r="14" spans="2:16" ht="16" customHeight="1" x14ac:dyDescent="0.2">
      <c r="B14" s="13" t="s">
        <v>121</v>
      </c>
      <c r="C14" s="20">
        <v>10</v>
      </c>
      <c r="D14" s="38"/>
      <c r="H14" s="13" t="s">
        <v>93</v>
      </c>
      <c r="J14" s="133">
        <v>197.3</v>
      </c>
      <c r="K14" s="134">
        <f t="shared" si="0"/>
        <v>25</v>
      </c>
      <c r="L14" s="135">
        <v>10</v>
      </c>
    </row>
    <row r="15" spans="2:16" ht="16" customHeight="1" x14ac:dyDescent="0.2">
      <c r="B15" s="13" t="s">
        <v>41</v>
      </c>
      <c r="C15" s="34"/>
      <c r="D15" s="38"/>
      <c r="J15" s="74">
        <v>207.46999999999997</v>
      </c>
      <c r="K15" s="75">
        <f t="shared" si="0"/>
        <v>27.5</v>
      </c>
      <c r="L15" s="76">
        <v>11</v>
      </c>
    </row>
    <row r="16" spans="2:16" ht="16" customHeight="1" x14ac:dyDescent="0.2">
      <c r="B16" s="33" t="s">
        <v>122</v>
      </c>
      <c r="C16" s="38">
        <f>D16/C4</f>
        <v>0.875</v>
      </c>
      <c r="D16" s="20">
        <v>35</v>
      </c>
      <c r="H16" s="13" t="s">
        <v>117</v>
      </c>
      <c r="J16" s="133">
        <v>214.57999999999998</v>
      </c>
      <c r="K16" s="134">
        <f t="shared" si="0"/>
        <v>30</v>
      </c>
      <c r="L16" s="135">
        <v>12</v>
      </c>
    </row>
    <row r="17" spans="2:15" ht="16" customHeight="1" x14ac:dyDescent="0.2">
      <c r="B17" s="33" t="s">
        <v>34</v>
      </c>
      <c r="C17" s="20">
        <v>0</v>
      </c>
      <c r="D17" s="38"/>
      <c r="H17" s="13" t="s">
        <v>117</v>
      </c>
      <c r="J17" s="74">
        <v>218.63</v>
      </c>
      <c r="K17" s="75">
        <f t="shared" si="0"/>
        <v>32.5</v>
      </c>
      <c r="L17" s="76">
        <v>13</v>
      </c>
    </row>
    <row r="18" spans="2:15" ht="16" customHeight="1" x14ac:dyDescent="0.2">
      <c r="B18" s="33" t="s">
        <v>35</v>
      </c>
      <c r="C18" s="20">
        <v>0.14000000000000001</v>
      </c>
      <c r="D18" s="38"/>
      <c r="H18" s="13" t="s">
        <v>117</v>
      </c>
      <c r="J18" s="136">
        <v>219.61999999999989</v>
      </c>
      <c r="K18" s="137">
        <f t="shared" si="0"/>
        <v>35</v>
      </c>
      <c r="L18" s="138">
        <v>14</v>
      </c>
    </row>
    <row r="19" spans="2:15" ht="16" customHeight="1" x14ac:dyDescent="0.2">
      <c r="B19" s="40" t="s">
        <v>42</v>
      </c>
      <c r="C19" s="41"/>
      <c r="D19" s="38"/>
      <c r="J19" s="13"/>
      <c r="K19" s="13"/>
      <c r="L19" s="13"/>
    </row>
    <row r="20" spans="2:15" ht="16" customHeight="1" x14ac:dyDescent="0.2">
      <c r="B20" s="33" t="s">
        <v>36</v>
      </c>
      <c r="C20" s="20">
        <v>3.5</v>
      </c>
      <c r="D20" s="38"/>
      <c r="H20" s="13" t="s">
        <v>94</v>
      </c>
      <c r="J20" s="72" t="s">
        <v>25</v>
      </c>
      <c r="K20" s="86"/>
      <c r="L20" s="86"/>
      <c r="M20" s="86"/>
      <c r="N20" s="86"/>
      <c r="O20" s="87"/>
    </row>
    <row r="21" spans="2:15" ht="16" customHeight="1" x14ac:dyDescent="0.2">
      <c r="B21" s="13" t="s">
        <v>96</v>
      </c>
      <c r="C21" s="38">
        <f>C14-C16-C17-C18+C20</f>
        <v>12.484999999999999</v>
      </c>
      <c r="J21" s="88"/>
      <c r="K21" s="89"/>
      <c r="L21" s="89"/>
      <c r="M21" s="89"/>
      <c r="N21" s="89"/>
      <c r="O21" s="90"/>
    </row>
    <row r="22" spans="2:15" ht="16" customHeight="1" x14ac:dyDescent="0.25">
      <c r="B22" s="59" t="s">
        <v>100</v>
      </c>
      <c r="C22" s="59"/>
      <c r="D22" s="60">
        <f>C21*C4</f>
        <v>499.4</v>
      </c>
      <c r="E22" s="60">
        <f>D22/C5</f>
        <v>71.342857142857142</v>
      </c>
      <c r="F22" s="60">
        <f>E22/$C$6</f>
        <v>178.35714285714283</v>
      </c>
      <c r="J22" s="91" t="s">
        <v>5</v>
      </c>
      <c r="K22" s="21"/>
      <c r="L22" s="22" t="s">
        <v>28</v>
      </c>
      <c r="M22" s="22" t="s">
        <v>29</v>
      </c>
      <c r="N22" s="21" t="s">
        <v>6</v>
      </c>
      <c r="O22" s="92"/>
    </row>
    <row r="23" spans="2:15" ht="16" customHeight="1" x14ac:dyDescent="0.2">
      <c r="B23" s="13"/>
      <c r="J23" s="93" t="s">
        <v>20</v>
      </c>
      <c r="K23" s="23"/>
      <c r="L23" s="24"/>
      <c r="M23" s="24"/>
      <c r="N23" s="23"/>
      <c r="O23" s="92"/>
    </row>
    <row r="24" spans="2:15" ht="16" customHeight="1" x14ac:dyDescent="0.2">
      <c r="B24" s="13" t="s">
        <v>46</v>
      </c>
      <c r="J24" s="94" t="s">
        <v>119</v>
      </c>
      <c r="K24" s="25"/>
      <c r="L24" s="26">
        <v>0.56999999999999995</v>
      </c>
      <c r="M24" s="26">
        <v>0.33</v>
      </c>
      <c r="N24" s="25" t="s">
        <v>2</v>
      </c>
      <c r="O24" s="92"/>
    </row>
    <row r="25" spans="2:15" ht="16" customHeight="1" x14ac:dyDescent="0.2">
      <c r="B25" s="33" t="s">
        <v>123</v>
      </c>
      <c r="E25" s="20">
        <v>16.14</v>
      </c>
      <c r="H25" s="13" t="s">
        <v>117</v>
      </c>
      <c r="J25" s="95" t="s">
        <v>120</v>
      </c>
      <c r="K25" s="27"/>
      <c r="L25" s="28">
        <v>4.2699999999999996</v>
      </c>
      <c r="M25" s="28">
        <v>29.33</v>
      </c>
      <c r="N25" s="27" t="s">
        <v>7</v>
      </c>
      <c r="O25" s="92"/>
    </row>
    <row r="26" spans="2:15" ht="16" customHeight="1" x14ac:dyDescent="0.2">
      <c r="B26" s="33" t="s">
        <v>45</v>
      </c>
      <c r="E26" s="20">
        <v>3.5</v>
      </c>
      <c r="H26" s="13" t="s">
        <v>118</v>
      </c>
      <c r="J26" s="96" t="s">
        <v>52</v>
      </c>
      <c r="K26" s="15"/>
      <c r="L26" s="45">
        <v>0.8</v>
      </c>
      <c r="M26" s="45">
        <v>0.7</v>
      </c>
      <c r="N26" s="15" t="s">
        <v>53</v>
      </c>
      <c r="O26" s="92"/>
    </row>
    <row r="27" spans="2:15" ht="16" customHeight="1" x14ac:dyDescent="0.2">
      <c r="B27" s="59" t="s">
        <v>101</v>
      </c>
      <c r="C27" s="59"/>
      <c r="D27" s="60"/>
      <c r="E27" s="60">
        <f>E22+E25+E26</f>
        <v>90.982857142857142</v>
      </c>
      <c r="F27" s="60">
        <f>E27/$C$6</f>
        <v>227.45714285714286</v>
      </c>
      <c r="J27" s="96" t="s">
        <v>31</v>
      </c>
      <c r="K27" s="97"/>
      <c r="L27" s="98">
        <f>$C4*L24</f>
        <v>22.799999999999997</v>
      </c>
      <c r="M27" s="98">
        <f>$C4*M24</f>
        <v>13.200000000000001</v>
      </c>
      <c r="N27" s="15" t="s">
        <v>8</v>
      </c>
      <c r="O27" s="92"/>
    </row>
    <row r="28" spans="2:15" ht="16" customHeight="1" x14ac:dyDescent="0.2">
      <c r="J28" s="96" t="s">
        <v>32</v>
      </c>
      <c r="K28" s="97"/>
      <c r="L28" s="99">
        <f>$C5*L25</f>
        <v>29.889999999999997</v>
      </c>
      <c r="M28" s="99">
        <f>$C5*M25</f>
        <v>205.31</v>
      </c>
      <c r="N28" s="15" t="s">
        <v>8</v>
      </c>
      <c r="O28" s="92"/>
    </row>
    <row r="29" spans="2:15" ht="16" customHeight="1" x14ac:dyDescent="0.2">
      <c r="B29" s="13" t="s">
        <v>99</v>
      </c>
      <c r="E29" s="20">
        <v>0</v>
      </c>
      <c r="H29" s="13" t="s">
        <v>89</v>
      </c>
      <c r="J29" s="96" t="s">
        <v>9</v>
      </c>
      <c r="K29" s="15"/>
      <c r="L29" s="98">
        <f t="shared" ref="L29" si="1">L28-L27</f>
        <v>7.09</v>
      </c>
      <c r="M29" s="98">
        <f>M28-M27</f>
        <v>192.11</v>
      </c>
      <c r="N29" s="15" t="s">
        <v>8</v>
      </c>
      <c r="O29" s="92"/>
    </row>
    <row r="30" spans="2:15" ht="16" customHeight="1" x14ac:dyDescent="0.2">
      <c r="B30" s="13" t="s">
        <v>98</v>
      </c>
      <c r="E30" s="38">
        <f>-IF(ISBLANK(C10),E27-E27/D9,E27-E27/D10)</f>
        <v>6.8481720430107629</v>
      </c>
      <c r="J30" s="96" t="s">
        <v>10</v>
      </c>
      <c r="K30" s="15"/>
      <c r="L30" s="100">
        <f>L29*L26</f>
        <v>5.6720000000000006</v>
      </c>
      <c r="M30" s="100">
        <f>M29*M26</f>
        <v>134.477</v>
      </c>
      <c r="N30" s="15" t="s">
        <v>11</v>
      </c>
      <c r="O30" s="101">
        <f>SUM(L30:M30)</f>
        <v>140.149</v>
      </c>
    </row>
    <row r="31" spans="2:15" ht="16" customHeight="1" x14ac:dyDescent="0.2">
      <c r="B31" s="13" t="s">
        <v>47</v>
      </c>
      <c r="E31" s="20">
        <v>1.5</v>
      </c>
      <c r="H31" s="13" t="s">
        <v>89</v>
      </c>
      <c r="J31" s="102" t="s">
        <v>12</v>
      </c>
      <c r="K31" s="29"/>
      <c r="L31" s="29"/>
      <c r="M31" s="30"/>
      <c r="N31" s="29" t="s">
        <v>13</v>
      </c>
      <c r="O31" s="139">
        <f>O30/C4</f>
        <v>3.5037250000000002</v>
      </c>
    </row>
    <row r="32" spans="2:15" x14ac:dyDescent="0.2">
      <c r="B32" s="59" t="s">
        <v>103</v>
      </c>
      <c r="C32" s="59"/>
      <c r="D32" s="60"/>
      <c r="E32" s="60">
        <f>E27+SUM(E29:E31)</f>
        <v>99.331029185867905</v>
      </c>
      <c r="F32" s="60">
        <f>E32/$C$6</f>
        <v>248.32757296466974</v>
      </c>
      <c r="J32" s="13" t="s">
        <v>19</v>
      </c>
      <c r="K32" s="15"/>
      <c r="L32" s="31"/>
      <c r="M32" s="32"/>
      <c r="N32" s="32"/>
      <c r="O32" s="31"/>
    </row>
    <row r="34" spans="10:21" x14ac:dyDescent="0.2">
      <c r="J34" s="72" t="s">
        <v>33</v>
      </c>
      <c r="K34" s="104"/>
      <c r="L34" s="104"/>
      <c r="M34" s="104"/>
      <c r="N34" s="104"/>
      <c r="O34" s="104"/>
      <c r="P34" s="104"/>
      <c r="Q34" s="104"/>
      <c r="R34" s="104"/>
      <c r="S34" s="104"/>
      <c r="T34" s="104"/>
      <c r="U34" s="105"/>
    </row>
    <row r="35" spans="10:21" x14ac:dyDescent="0.2">
      <c r="J35" s="106" t="s">
        <v>112</v>
      </c>
      <c r="K35" s="103" t="s">
        <v>70</v>
      </c>
      <c r="L35" s="103" t="s">
        <v>72</v>
      </c>
      <c r="M35" s="103" t="s">
        <v>71</v>
      </c>
      <c r="N35" s="103" t="s">
        <v>57</v>
      </c>
      <c r="O35" s="103" t="s">
        <v>58</v>
      </c>
      <c r="P35" s="103" t="s">
        <v>73</v>
      </c>
      <c r="Q35" s="103" t="s">
        <v>74</v>
      </c>
      <c r="R35" s="103" t="s">
        <v>75</v>
      </c>
      <c r="S35" s="103" t="s">
        <v>76</v>
      </c>
      <c r="T35" s="103" t="s">
        <v>77</v>
      </c>
      <c r="U35" s="107" t="s">
        <v>86</v>
      </c>
    </row>
    <row r="36" spans="10:21" ht="17" x14ac:dyDescent="0.2">
      <c r="J36" s="108" t="s">
        <v>78</v>
      </c>
      <c r="K36" s="50">
        <v>50</v>
      </c>
      <c r="L36" s="51">
        <v>2</v>
      </c>
      <c r="M36" s="51">
        <v>4</v>
      </c>
      <c r="N36" s="51">
        <v>0</v>
      </c>
      <c r="O36" s="51">
        <v>5</v>
      </c>
      <c r="P36" s="51">
        <v>3</v>
      </c>
      <c r="Q36" s="51">
        <v>1</v>
      </c>
      <c r="R36" s="51">
        <v>5</v>
      </c>
      <c r="S36" s="51">
        <v>11</v>
      </c>
      <c r="T36" s="51">
        <v>17</v>
      </c>
      <c r="U36" s="109">
        <f t="shared" ref="U36:U60" si="2">AVERAGE(L36:M36)+SUM(N36:P36)+AVERAGE(Q36:R36)</f>
        <v>14</v>
      </c>
    </row>
    <row r="37" spans="10:21" x14ac:dyDescent="0.2">
      <c r="J37" s="110"/>
      <c r="K37" s="52">
        <v>60</v>
      </c>
      <c r="L37" s="46">
        <v>1</v>
      </c>
      <c r="M37" s="46">
        <v>3</v>
      </c>
      <c r="N37" s="46">
        <v>0</v>
      </c>
      <c r="O37" s="46">
        <v>6</v>
      </c>
      <c r="P37" s="46">
        <v>3</v>
      </c>
      <c r="Q37" s="46">
        <v>1</v>
      </c>
      <c r="R37" s="46">
        <v>5</v>
      </c>
      <c r="S37" s="46">
        <v>11</v>
      </c>
      <c r="T37" s="46">
        <v>17</v>
      </c>
      <c r="U37" s="111">
        <f t="shared" si="2"/>
        <v>14</v>
      </c>
    </row>
    <row r="38" spans="10:21" x14ac:dyDescent="0.2">
      <c r="J38" s="112"/>
      <c r="K38" s="53">
        <v>65</v>
      </c>
      <c r="L38" s="47">
        <v>1</v>
      </c>
      <c r="M38" s="47">
        <v>3</v>
      </c>
      <c r="N38" s="47">
        <v>0</v>
      </c>
      <c r="O38" s="47">
        <v>8</v>
      </c>
      <c r="P38" s="47">
        <v>3</v>
      </c>
      <c r="Q38" s="47">
        <v>1</v>
      </c>
      <c r="R38" s="47">
        <v>5</v>
      </c>
      <c r="S38" s="47">
        <v>13</v>
      </c>
      <c r="T38" s="47">
        <v>19</v>
      </c>
      <c r="U38" s="113">
        <f t="shared" si="2"/>
        <v>16</v>
      </c>
    </row>
    <row r="39" spans="10:21" x14ac:dyDescent="0.2">
      <c r="J39" s="110"/>
      <c r="K39" s="52">
        <v>70</v>
      </c>
      <c r="L39" s="46">
        <v>1</v>
      </c>
      <c r="M39" s="46">
        <v>2</v>
      </c>
      <c r="N39" s="46">
        <v>1</v>
      </c>
      <c r="O39" s="46">
        <v>8</v>
      </c>
      <c r="P39" s="46">
        <v>4</v>
      </c>
      <c r="Q39" s="46">
        <v>1</v>
      </c>
      <c r="R39" s="46">
        <v>5</v>
      </c>
      <c r="S39" s="46">
        <v>15</v>
      </c>
      <c r="T39" s="46">
        <v>20</v>
      </c>
      <c r="U39" s="111">
        <f t="shared" si="2"/>
        <v>17.5</v>
      </c>
    </row>
    <row r="40" spans="10:21" x14ac:dyDescent="0.2">
      <c r="J40" s="114"/>
      <c r="K40" s="56">
        <v>80</v>
      </c>
      <c r="L40" s="55">
        <v>1</v>
      </c>
      <c r="M40" s="55">
        <v>2</v>
      </c>
      <c r="N40" s="55">
        <v>7</v>
      </c>
      <c r="O40" s="55">
        <v>9</v>
      </c>
      <c r="P40" s="55">
        <v>3</v>
      </c>
      <c r="Q40" s="55">
        <v>1</v>
      </c>
      <c r="R40" s="55">
        <v>5</v>
      </c>
      <c r="S40" s="55">
        <v>21</v>
      </c>
      <c r="T40" s="55">
        <v>26</v>
      </c>
      <c r="U40" s="115">
        <f t="shared" si="2"/>
        <v>23.5</v>
      </c>
    </row>
    <row r="41" spans="10:21" ht="17" x14ac:dyDescent="0.2">
      <c r="J41" s="110" t="s">
        <v>81</v>
      </c>
      <c r="K41" s="52">
        <v>40</v>
      </c>
      <c r="L41" s="46">
        <v>2</v>
      </c>
      <c r="M41" s="46">
        <v>4</v>
      </c>
      <c r="N41" s="46">
        <v>0</v>
      </c>
      <c r="O41" s="46">
        <v>4</v>
      </c>
      <c r="P41" s="46">
        <v>0</v>
      </c>
      <c r="Q41" s="46">
        <v>0</v>
      </c>
      <c r="R41" s="46">
        <v>3</v>
      </c>
      <c r="S41" s="46">
        <v>6</v>
      </c>
      <c r="T41" s="46">
        <v>13</v>
      </c>
      <c r="U41" s="111">
        <f t="shared" si="2"/>
        <v>8.5</v>
      </c>
    </row>
    <row r="42" spans="10:21" x14ac:dyDescent="0.2">
      <c r="J42" s="112"/>
      <c r="K42" s="53">
        <v>50</v>
      </c>
      <c r="L42" s="47">
        <v>2</v>
      </c>
      <c r="M42" s="47">
        <v>3</v>
      </c>
      <c r="N42" s="47">
        <v>0</v>
      </c>
      <c r="O42" s="47">
        <v>4</v>
      </c>
      <c r="P42" s="47">
        <v>0</v>
      </c>
      <c r="Q42" s="47">
        <v>0</v>
      </c>
      <c r="R42" s="47">
        <v>3</v>
      </c>
      <c r="S42" s="47">
        <v>6</v>
      </c>
      <c r="T42" s="47">
        <v>12</v>
      </c>
      <c r="U42" s="113">
        <f t="shared" si="2"/>
        <v>8</v>
      </c>
    </row>
    <row r="43" spans="10:21" x14ac:dyDescent="0.2">
      <c r="J43" s="110"/>
      <c r="K43" s="52">
        <v>60</v>
      </c>
      <c r="L43" s="46">
        <v>1</v>
      </c>
      <c r="M43" s="46">
        <v>2</v>
      </c>
      <c r="N43" s="46">
        <v>0</v>
      </c>
      <c r="O43" s="46">
        <v>5</v>
      </c>
      <c r="P43" s="46">
        <v>0</v>
      </c>
      <c r="Q43" s="46">
        <v>0</v>
      </c>
      <c r="R43" s="46">
        <v>3</v>
      </c>
      <c r="S43" s="46">
        <v>6</v>
      </c>
      <c r="T43" s="46">
        <v>11</v>
      </c>
      <c r="U43" s="111">
        <f t="shared" si="2"/>
        <v>8</v>
      </c>
    </row>
    <row r="44" spans="10:21" x14ac:dyDescent="0.2">
      <c r="J44" s="114"/>
      <c r="K44" s="54">
        <v>70</v>
      </c>
      <c r="L44" s="55">
        <v>0</v>
      </c>
      <c r="M44" s="55">
        <v>1</v>
      </c>
      <c r="N44" s="55">
        <v>1</v>
      </c>
      <c r="O44" s="55">
        <v>7</v>
      </c>
      <c r="P44" s="55">
        <v>0</v>
      </c>
      <c r="Q44" s="55">
        <v>0</v>
      </c>
      <c r="R44" s="55">
        <v>3</v>
      </c>
      <c r="S44" s="55">
        <v>8</v>
      </c>
      <c r="T44" s="55">
        <v>12</v>
      </c>
      <c r="U44" s="115">
        <f t="shared" si="2"/>
        <v>10</v>
      </c>
    </row>
    <row r="45" spans="10:21" x14ac:dyDescent="0.2">
      <c r="J45" s="116" t="s">
        <v>82</v>
      </c>
      <c r="K45" s="52">
        <v>60</v>
      </c>
      <c r="L45" s="46">
        <v>1</v>
      </c>
      <c r="M45" s="46">
        <v>2</v>
      </c>
      <c r="N45" s="46">
        <v>0</v>
      </c>
      <c r="O45" s="46">
        <v>5</v>
      </c>
      <c r="P45" s="46">
        <v>2</v>
      </c>
      <c r="Q45" s="46">
        <v>1</v>
      </c>
      <c r="R45" s="46">
        <v>5</v>
      </c>
      <c r="S45" s="46">
        <v>9</v>
      </c>
      <c r="T45" s="46">
        <v>14</v>
      </c>
      <c r="U45" s="111">
        <f t="shared" si="2"/>
        <v>11.5</v>
      </c>
    </row>
    <row r="46" spans="10:21" x14ac:dyDescent="0.2">
      <c r="J46" s="117"/>
      <c r="K46" s="54">
        <v>80</v>
      </c>
      <c r="L46" s="55">
        <v>1</v>
      </c>
      <c r="M46" s="55">
        <v>2</v>
      </c>
      <c r="N46" s="55">
        <v>2</v>
      </c>
      <c r="O46" s="55">
        <v>6</v>
      </c>
      <c r="P46" s="55">
        <v>2</v>
      </c>
      <c r="Q46" s="55">
        <v>1</v>
      </c>
      <c r="R46" s="55">
        <v>5</v>
      </c>
      <c r="S46" s="55">
        <v>12</v>
      </c>
      <c r="T46" s="55">
        <v>17</v>
      </c>
      <c r="U46" s="115">
        <f t="shared" si="2"/>
        <v>14.5</v>
      </c>
    </row>
    <row r="47" spans="10:21" x14ac:dyDescent="0.2">
      <c r="J47" s="116" t="s">
        <v>79</v>
      </c>
      <c r="K47" s="52">
        <v>50</v>
      </c>
      <c r="L47" s="46">
        <v>4</v>
      </c>
      <c r="M47" s="46">
        <v>7</v>
      </c>
      <c r="N47" s="46">
        <v>0</v>
      </c>
      <c r="O47" s="46">
        <v>6</v>
      </c>
      <c r="P47" s="46">
        <v>6</v>
      </c>
      <c r="Q47" s="46">
        <v>5</v>
      </c>
      <c r="R47" s="46">
        <v>15</v>
      </c>
      <c r="S47" s="46">
        <v>21</v>
      </c>
      <c r="T47" s="46">
        <v>34</v>
      </c>
      <c r="U47" s="111">
        <f t="shared" si="2"/>
        <v>27.5</v>
      </c>
    </row>
    <row r="48" spans="10:21" x14ac:dyDescent="0.2">
      <c r="J48" s="118"/>
      <c r="K48" s="53">
        <v>70</v>
      </c>
      <c r="L48" s="47">
        <v>3</v>
      </c>
      <c r="M48" s="47">
        <v>6</v>
      </c>
      <c r="N48" s="47">
        <v>0</v>
      </c>
      <c r="O48" s="47">
        <v>7</v>
      </c>
      <c r="P48" s="47">
        <v>4</v>
      </c>
      <c r="Q48" s="47">
        <v>3</v>
      </c>
      <c r="R48" s="47">
        <v>10</v>
      </c>
      <c r="S48" s="47">
        <v>17</v>
      </c>
      <c r="T48" s="47">
        <v>27</v>
      </c>
      <c r="U48" s="113">
        <f t="shared" si="2"/>
        <v>22</v>
      </c>
    </row>
    <row r="49" spans="10:21" x14ac:dyDescent="0.2">
      <c r="J49" s="119"/>
      <c r="K49" s="57">
        <v>80</v>
      </c>
      <c r="L49" s="48">
        <v>3</v>
      </c>
      <c r="M49" s="48">
        <v>6</v>
      </c>
      <c r="N49" s="48">
        <v>5</v>
      </c>
      <c r="O49" s="48">
        <v>8</v>
      </c>
      <c r="P49" s="48">
        <v>2</v>
      </c>
      <c r="Q49" s="48">
        <v>3</v>
      </c>
      <c r="R49" s="48">
        <v>10</v>
      </c>
      <c r="S49" s="48">
        <v>21</v>
      </c>
      <c r="T49" s="48">
        <v>31</v>
      </c>
      <c r="U49" s="120">
        <f t="shared" si="2"/>
        <v>26</v>
      </c>
    </row>
    <row r="50" spans="10:21" x14ac:dyDescent="0.2">
      <c r="J50" s="118" t="s">
        <v>83</v>
      </c>
      <c r="K50" s="53">
        <v>60</v>
      </c>
      <c r="L50" s="47">
        <v>4</v>
      </c>
      <c r="M50" s="47">
        <v>7</v>
      </c>
      <c r="N50" s="47">
        <v>0</v>
      </c>
      <c r="O50" s="47">
        <v>12</v>
      </c>
      <c r="P50" s="47">
        <v>24</v>
      </c>
      <c r="Q50" s="47">
        <v>5</v>
      </c>
      <c r="R50" s="47">
        <v>15</v>
      </c>
      <c r="S50" s="47">
        <v>45</v>
      </c>
      <c r="T50" s="47">
        <v>58</v>
      </c>
      <c r="U50" s="113">
        <f t="shared" si="2"/>
        <v>51.5</v>
      </c>
    </row>
    <row r="51" spans="10:21" x14ac:dyDescent="0.2">
      <c r="J51" s="116"/>
      <c r="K51" s="52">
        <v>70</v>
      </c>
      <c r="L51" s="46">
        <v>3</v>
      </c>
      <c r="M51" s="46">
        <v>6</v>
      </c>
      <c r="N51" s="46">
        <v>1</v>
      </c>
      <c r="O51" s="46">
        <v>11</v>
      </c>
      <c r="P51" s="46">
        <v>19</v>
      </c>
      <c r="Q51" s="46">
        <v>3</v>
      </c>
      <c r="R51" s="46">
        <v>10</v>
      </c>
      <c r="S51" s="46">
        <v>37</v>
      </c>
      <c r="T51" s="46">
        <v>47</v>
      </c>
      <c r="U51" s="111">
        <f t="shared" si="2"/>
        <v>42</v>
      </c>
    </row>
    <row r="52" spans="10:21" x14ac:dyDescent="0.2">
      <c r="J52" s="117"/>
      <c r="K52" s="54">
        <v>80</v>
      </c>
      <c r="L52" s="55">
        <v>3</v>
      </c>
      <c r="M52" s="55">
        <v>6</v>
      </c>
      <c r="N52" s="55">
        <v>7</v>
      </c>
      <c r="O52" s="55">
        <v>10</v>
      </c>
      <c r="P52" s="55">
        <v>11</v>
      </c>
      <c r="Q52" s="55">
        <v>3</v>
      </c>
      <c r="R52" s="55">
        <v>10</v>
      </c>
      <c r="S52" s="55">
        <v>34</v>
      </c>
      <c r="T52" s="55">
        <v>44</v>
      </c>
      <c r="U52" s="115">
        <f t="shared" si="2"/>
        <v>39</v>
      </c>
    </row>
    <row r="53" spans="10:21" ht="34" x14ac:dyDescent="0.2">
      <c r="J53" s="110" t="s">
        <v>80</v>
      </c>
      <c r="K53" s="52">
        <v>60</v>
      </c>
      <c r="L53" s="46">
        <v>3</v>
      </c>
      <c r="M53" s="46">
        <v>6</v>
      </c>
      <c r="N53" s="46">
        <v>0</v>
      </c>
      <c r="O53" s="46">
        <v>6</v>
      </c>
      <c r="P53" s="46">
        <v>4</v>
      </c>
      <c r="Q53" s="46">
        <v>5</v>
      </c>
      <c r="R53" s="46">
        <v>15</v>
      </c>
      <c r="S53" s="46">
        <v>18</v>
      </c>
      <c r="T53" s="46">
        <v>31</v>
      </c>
      <c r="U53" s="111">
        <f t="shared" si="2"/>
        <v>24.5</v>
      </c>
    </row>
    <row r="54" spans="10:21" x14ac:dyDescent="0.2">
      <c r="J54" s="112"/>
      <c r="K54" s="53">
        <v>70</v>
      </c>
      <c r="L54" s="47">
        <v>2</v>
      </c>
      <c r="M54" s="47">
        <v>5</v>
      </c>
      <c r="N54" s="47">
        <v>1</v>
      </c>
      <c r="O54" s="47">
        <v>7</v>
      </c>
      <c r="P54" s="47">
        <v>3</v>
      </c>
      <c r="Q54" s="47">
        <v>3</v>
      </c>
      <c r="R54" s="47">
        <v>10</v>
      </c>
      <c r="S54" s="47">
        <v>16</v>
      </c>
      <c r="T54" s="47">
        <v>23</v>
      </c>
      <c r="U54" s="113">
        <f t="shared" si="2"/>
        <v>21</v>
      </c>
    </row>
    <row r="55" spans="10:21" x14ac:dyDescent="0.2">
      <c r="J55" s="121"/>
      <c r="K55" s="57">
        <v>80</v>
      </c>
      <c r="L55" s="48">
        <v>2</v>
      </c>
      <c r="M55" s="48">
        <v>5</v>
      </c>
      <c r="N55" s="48">
        <v>4</v>
      </c>
      <c r="O55" s="48">
        <v>9</v>
      </c>
      <c r="P55" s="48">
        <v>2</v>
      </c>
      <c r="Q55" s="48">
        <v>3</v>
      </c>
      <c r="R55" s="48">
        <v>10</v>
      </c>
      <c r="S55" s="48">
        <v>20</v>
      </c>
      <c r="T55" s="48">
        <v>30</v>
      </c>
      <c r="U55" s="120">
        <f t="shared" si="2"/>
        <v>25</v>
      </c>
    </row>
    <row r="56" spans="10:21" ht="34" x14ac:dyDescent="0.2">
      <c r="J56" s="112" t="s">
        <v>84</v>
      </c>
      <c r="K56" s="53">
        <v>60</v>
      </c>
      <c r="L56" s="47">
        <v>3</v>
      </c>
      <c r="M56" s="47">
        <v>6</v>
      </c>
      <c r="N56" s="47">
        <v>0</v>
      </c>
      <c r="O56" s="47">
        <v>10</v>
      </c>
      <c r="P56" s="47">
        <v>12</v>
      </c>
      <c r="Q56" s="47">
        <v>5</v>
      </c>
      <c r="R56" s="47">
        <v>15</v>
      </c>
      <c r="S56" s="47">
        <v>30</v>
      </c>
      <c r="T56" s="47">
        <v>43</v>
      </c>
      <c r="U56" s="113">
        <f t="shared" si="2"/>
        <v>36.5</v>
      </c>
    </row>
    <row r="57" spans="10:21" x14ac:dyDescent="0.2">
      <c r="J57" s="110"/>
      <c r="K57" s="52">
        <v>70</v>
      </c>
      <c r="L57" s="46">
        <v>2</v>
      </c>
      <c r="M57" s="46">
        <v>5</v>
      </c>
      <c r="N57" s="46">
        <v>1</v>
      </c>
      <c r="O57" s="46">
        <v>9</v>
      </c>
      <c r="P57" s="46">
        <v>9</v>
      </c>
      <c r="Q57" s="46">
        <v>3</v>
      </c>
      <c r="R57" s="46">
        <v>10</v>
      </c>
      <c r="S57" s="46">
        <v>24</v>
      </c>
      <c r="T57" s="46">
        <v>34</v>
      </c>
      <c r="U57" s="111">
        <f t="shared" si="2"/>
        <v>29</v>
      </c>
    </row>
    <row r="58" spans="10:21" x14ac:dyDescent="0.2">
      <c r="J58" s="114"/>
      <c r="K58" s="54">
        <v>80</v>
      </c>
      <c r="L58" s="55">
        <v>2</v>
      </c>
      <c r="M58" s="55">
        <v>5</v>
      </c>
      <c r="N58" s="55">
        <v>6</v>
      </c>
      <c r="O58" s="55">
        <v>10</v>
      </c>
      <c r="P58" s="55">
        <v>6</v>
      </c>
      <c r="Q58" s="55">
        <v>3</v>
      </c>
      <c r="R58" s="55">
        <v>10</v>
      </c>
      <c r="S58" s="55">
        <v>27</v>
      </c>
      <c r="T58" s="55">
        <v>37</v>
      </c>
      <c r="U58" s="115">
        <f t="shared" si="2"/>
        <v>32</v>
      </c>
    </row>
    <row r="59" spans="10:21" ht="17" x14ac:dyDescent="0.2">
      <c r="J59" s="110" t="s">
        <v>85</v>
      </c>
      <c r="K59" s="52">
        <v>50</v>
      </c>
      <c r="L59" s="46">
        <v>2</v>
      </c>
      <c r="M59" s="46">
        <v>3</v>
      </c>
      <c r="N59" s="46">
        <v>0</v>
      </c>
      <c r="O59" s="46">
        <v>6</v>
      </c>
      <c r="P59" s="46">
        <v>6</v>
      </c>
      <c r="Q59" s="46">
        <v>1</v>
      </c>
      <c r="R59" s="46">
        <v>5</v>
      </c>
      <c r="S59" s="46">
        <v>15</v>
      </c>
      <c r="T59" s="46">
        <v>20</v>
      </c>
      <c r="U59" s="111">
        <f t="shared" si="2"/>
        <v>17.5</v>
      </c>
    </row>
    <row r="60" spans="10:21" x14ac:dyDescent="0.2">
      <c r="J60" s="114"/>
      <c r="K60" s="54">
        <v>60</v>
      </c>
      <c r="L60" s="55">
        <v>1</v>
      </c>
      <c r="M60" s="55">
        <v>2</v>
      </c>
      <c r="N60" s="55">
        <v>0</v>
      </c>
      <c r="O60" s="55">
        <v>8</v>
      </c>
      <c r="P60" s="55">
        <v>5</v>
      </c>
      <c r="Q60" s="55">
        <v>1</v>
      </c>
      <c r="R60" s="55">
        <v>5</v>
      </c>
      <c r="S60" s="55">
        <v>15</v>
      </c>
      <c r="T60" s="55">
        <v>20</v>
      </c>
      <c r="U60" s="115">
        <f t="shared" si="2"/>
        <v>17.5</v>
      </c>
    </row>
    <row r="61" spans="10:21" x14ac:dyDescent="0.2">
      <c r="J61" s="58" t="s">
        <v>95</v>
      </c>
      <c r="K61" s="14"/>
      <c r="L61" s="16"/>
      <c r="M61" s="36"/>
      <c r="N61" s="13"/>
      <c r="O61" s="13"/>
      <c r="P61" s="13"/>
      <c r="Q61" s="13"/>
      <c r="R61" s="14"/>
      <c r="S61" s="13"/>
      <c r="T61" s="13"/>
      <c r="U61" s="13"/>
    </row>
    <row r="63" spans="10:21" x14ac:dyDescent="0.2">
      <c r="J63" s="14" t="s">
        <v>88</v>
      </c>
      <c r="K63" s="14"/>
      <c r="L63" s="13"/>
      <c r="M63" s="36"/>
    </row>
    <row r="64" spans="10:21" x14ac:dyDescent="0.2">
      <c r="J64" s="130" t="s">
        <v>69</v>
      </c>
      <c r="K64" s="131" t="s">
        <v>68</v>
      </c>
      <c r="L64" s="131" t="s">
        <v>87</v>
      </c>
      <c r="M64" s="132" t="s">
        <v>59</v>
      </c>
      <c r="N64" s="13"/>
      <c r="O64" s="13"/>
      <c r="P64" s="13"/>
      <c r="Q64" s="13"/>
      <c r="R64" s="14"/>
      <c r="S64" s="13"/>
      <c r="T64" s="13"/>
      <c r="U64" s="13"/>
    </row>
    <row r="65" spans="10:21" x14ac:dyDescent="0.2">
      <c r="J65" s="125" t="s">
        <v>54</v>
      </c>
      <c r="K65" s="47" t="s">
        <v>60</v>
      </c>
      <c r="L65" s="49">
        <f>VLOOKUP((1-C6)*100,ConvTower,11)/100</f>
        <v>0.14000000000000001</v>
      </c>
      <c r="M65" s="126">
        <f>1-L65</f>
        <v>0.86</v>
      </c>
      <c r="N65" s="13"/>
      <c r="O65" s="13"/>
      <c r="P65" s="13"/>
      <c r="Q65" s="13"/>
      <c r="R65" s="13"/>
      <c r="S65" s="13"/>
      <c r="T65" s="13"/>
      <c r="U65" s="13"/>
    </row>
    <row r="66" spans="10:21" x14ac:dyDescent="0.2">
      <c r="J66" s="122" t="s">
        <v>55</v>
      </c>
      <c r="K66" s="46" t="s">
        <v>61</v>
      </c>
      <c r="L66" s="123">
        <f>VLOOKUP((1-C6)*100,GasTower,11)/100</f>
        <v>0.08</v>
      </c>
      <c r="M66" s="124">
        <f t="shared" ref="M66:M72" si="3">1-L66</f>
        <v>0.92</v>
      </c>
      <c r="N66" s="13"/>
      <c r="O66" s="13"/>
      <c r="P66" s="13"/>
      <c r="Q66" s="13"/>
      <c r="R66" s="13"/>
      <c r="S66" s="13"/>
      <c r="T66" s="13"/>
      <c r="U66" s="13"/>
    </row>
    <row r="67" spans="10:21" x14ac:dyDescent="0.2">
      <c r="J67" s="125" t="s">
        <v>56</v>
      </c>
      <c r="K67" s="47" t="s">
        <v>62</v>
      </c>
      <c r="L67" s="49">
        <f>VLOOKUP((1-C6)*100,Bag,11)/100</f>
        <v>0.115</v>
      </c>
      <c r="M67" s="126">
        <f t="shared" si="3"/>
        <v>0.88500000000000001</v>
      </c>
      <c r="N67" s="13"/>
      <c r="O67" s="13"/>
      <c r="P67" s="13"/>
      <c r="Q67" s="13"/>
      <c r="R67" s="13"/>
      <c r="S67" s="13"/>
      <c r="T67" s="13"/>
      <c r="U67" s="13"/>
    </row>
    <row r="68" spans="10:21" x14ac:dyDescent="0.2">
      <c r="J68" s="122" t="s">
        <v>106</v>
      </c>
      <c r="K68" s="46" t="s">
        <v>63</v>
      </c>
      <c r="L68" s="123">
        <f>VLOOKUP((1-C6)*100,CovStack,11)/100</f>
        <v>0.27500000000000002</v>
      </c>
      <c r="M68" s="124">
        <f t="shared" si="3"/>
        <v>0.72499999999999998</v>
      </c>
      <c r="N68" s="13"/>
      <c r="O68" s="13"/>
      <c r="P68" s="13"/>
      <c r="Q68" s="13"/>
      <c r="R68" s="13"/>
      <c r="S68" s="13"/>
      <c r="T68" s="13"/>
      <c r="U68" s="13"/>
    </row>
    <row r="69" spans="10:21" x14ac:dyDescent="0.2">
      <c r="J69" s="125" t="s">
        <v>107</v>
      </c>
      <c r="K69" s="47" t="s">
        <v>64</v>
      </c>
      <c r="L69" s="49">
        <f>VLOOKUP((1-C6)*100,UncovStack,11)/100</f>
        <v>0.51500000000000001</v>
      </c>
      <c r="M69" s="126">
        <f t="shared" si="3"/>
        <v>0.48499999999999999</v>
      </c>
      <c r="N69" s="13"/>
      <c r="O69" s="13"/>
      <c r="P69" s="13"/>
      <c r="Q69" s="13"/>
      <c r="R69" s="13"/>
      <c r="S69" s="13"/>
      <c r="T69" s="13"/>
      <c r="U69" s="13"/>
    </row>
    <row r="70" spans="10:21" x14ac:dyDescent="0.2">
      <c r="J70" s="122" t="s">
        <v>108</v>
      </c>
      <c r="K70" s="46" t="s">
        <v>65</v>
      </c>
      <c r="L70" s="123">
        <f>VLOOKUP((1-C6)*100,CovTrench,11)/100</f>
        <v>0.245</v>
      </c>
      <c r="M70" s="124">
        <f t="shared" si="3"/>
        <v>0.755</v>
      </c>
      <c r="N70" s="13"/>
      <c r="O70" s="13"/>
      <c r="P70" s="13"/>
      <c r="Q70" s="13"/>
      <c r="R70" s="13"/>
      <c r="S70" s="13"/>
      <c r="T70" s="13"/>
      <c r="U70" s="13"/>
    </row>
    <row r="71" spans="10:21" x14ac:dyDescent="0.2">
      <c r="J71" s="125" t="s">
        <v>109</v>
      </c>
      <c r="K71" s="47" t="s">
        <v>66</v>
      </c>
      <c r="L71" s="49">
        <f>VLOOKUP((1-C6)*100,UncovTrench,11)/100</f>
        <v>0.36499999999999999</v>
      </c>
      <c r="M71" s="126">
        <f t="shared" si="3"/>
        <v>0.63500000000000001</v>
      </c>
      <c r="N71" s="13"/>
      <c r="O71" s="13"/>
      <c r="P71" s="13"/>
      <c r="Q71" s="13"/>
      <c r="R71" s="13"/>
      <c r="S71" s="13"/>
      <c r="T71" s="13"/>
      <c r="U71" s="13"/>
    </row>
    <row r="72" spans="10:21" x14ac:dyDescent="0.2">
      <c r="J72" s="127" t="s">
        <v>110</v>
      </c>
      <c r="K72" s="48" t="s">
        <v>67</v>
      </c>
      <c r="L72" s="128">
        <f>VLOOKUP((1-C6)*100,Bales,11)/100</f>
        <v>0.17499999999999999</v>
      </c>
      <c r="M72" s="129">
        <f t="shared" si="3"/>
        <v>0.82499999999999996</v>
      </c>
      <c r="N72" s="13"/>
      <c r="O72" s="13"/>
      <c r="P72" s="13"/>
      <c r="Q72" s="13"/>
      <c r="R72" s="13"/>
      <c r="S72" s="13"/>
      <c r="T72" s="13"/>
      <c r="U72" s="13"/>
    </row>
    <row r="73" spans="10:21" x14ac:dyDescent="0.2">
      <c r="N73" s="13"/>
      <c r="O73" s="13"/>
      <c r="P73" s="13"/>
      <c r="Q73" s="13"/>
      <c r="R73" s="13"/>
      <c r="S73" s="13"/>
      <c r="T73" s="13"/>
      <c r="U73" s="13"/>
    </row>
    <row r="74" spans="10:21" x14ac:dyDescent="0.2">
      <c r="N74" s="13"/>
      <c r="O74" s="13"/>
      <c r="P74" s="13"/>
      <c r="Q74" s="13"/>
      <c r="R74" s="13"/>
      <c r="S74" s="13"/>
      <c r="T74" s="13"/>
      <c r="U74" s="13"/>
    </row>
    <row r="75" spans="10:21" x14ac:dyDescent="0.2">
      <c r="N75" s="13"/>
      <c r="O75" s="13"/>
      <c r="P75" s="13"/>
      <c r="Q75" s="13"/>
      <c r="R75" s="13"/>
      <c r="S75" s="13"/>
      <c r="T75" s="13"/>
      <c r="U75" s="13"/>
    </row>
    <row r="76" spans="10:21" x14ac:dyDescent="0.2">
      <c r="N76" s="13"/>
      <c r="O76" s="13"/>
      <c r="P76" s="13"/>
      <c r="Q76" s="13"/>
      <c r="R76" s="13"/>
      <c r="S76" s="13"/>
      <c r="T76" s="13"/>
      <c r="U76" s="13"/>
    </row>
    <row r="79" spans="10:21" x14ac:dyDescent="0.2">
      <c r="J79" s="17"/>
      <c r="K79" s="17"/>
      <c r="L79" s="17"/>
      <c r="M79" s="17"/>
      <c r="N79" s="17"/>
      <c r="O79" s="17"/>
      <c r="P79" s="17"/>
      <c r="Q79" s="17"/>
      <c r="R79" s="17"/>
      <c r="S79" s="17"/>
      <c r="T79" s="17"/>
      <c r="U79" s="17"/>
    </row>
  </sheetData>
  <mergeCells count="2">
    <mergeCell ref="B2:F2"/>
    <mergeCell ref="K3:L3"/>
  </mergeCells>
  <dataValidations count="1">
    <dataValidation type="list" allowBlank="1" showInputMessage="1" showErrorMessage="1" sqref="B8" xr:uid="{BDA463F9-C4B4-4133-9918-98F3B7B663EC}">
      <formula1>$J$65:$J$72</formula1>
    </dataValidation>
  </dataValidations>
  <pageMargins left="0.7" right="0.7" top="0.75" bottom="0.75" header="0.3" footer="0.3"/>
  <pageSetup orientation="portrait" horizontalDpi="1200" verticalDpi="1200" r:id="rId1"/>
  <ignoredErrors>
    <ignoredError sqref="C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E915-47F9-47D1-9E4B-9D45F6FD6709}">
  <dimension ref="A1"/>
  <sheetViews>
    <sheetView workbookViewId="0">
      <selection activeCell="D8" sqref="D8"/>
    </sheetView>
  </sheetViews>
  <sheetFormatPr baseColWidth="10" defaultColWidth="8.7109375" defaultRowHeight="16"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Introduction</vt:lpstr>
      <vt:lpstr>Silage valuation</vt:lpstr>
      <vt:lpstr>Relative Feed Val 4-21-22</vt:lpstr>
      <vt:lpstr>Bag</vt:lpstr>
      <vt:lpstr>Bales</vt:lpstr>
      <vt:lpstr>ConvTower</vt:lpstr>
      <vt:lpstr>CovStack</vt:lpstr>
      <vt:lpstr>CovTrench</vt:lpstr>
      <vt:lpstr>GasTower</vt:lpstr>
      <vt:lpstr>UncovStack</vt:lpstr>
      <vt:lpstr>UncovTrench</vt:lpstr>
    </vt:vector>
  </TitlesOfParts>
  <Company>University of Missoui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Massey</dc:creator>
  <cp:lastModifiedBy>Curt Wohleber</cp:lastModifiedBy>
  <dcterms:created xsi:type="dcterms:W3CDTF">2001-08-31T20:26:27Z</dcterms:created>
  <dcterms:modified xsi:type="dcterms:W3CDTF">2022-05-11T20:13:39Z</dcterms:modified>
</cp:coreProperties>
</file>