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wartm\OneDrive - University of Missouri\FTE enhancement\Final to post\PDF to post\"/>
    </mc:Choice>
  </mc:AlternateContent>
  <xr:revisionPtr revIDLastSave="17" documentId="8_{78A7759B-DF84-4669-BC19-8FE66F1BE983}" xr6:coauthVersionLast="45" xr6:coauthVersionMax="45" xr10:uidLastSave="{F2D325C7-E36B-46CD-9F2C-A2359C6F6DFD}"/>
  <workbookProtection workbookAlgorithmName="SHA-512" workbookHashValue="5Wp20G6xjxoIJtMl9OiBrOnMuJLZUVE8/h7KuOj2/gwSzlPjcu674EOLeTQYF29E2ieSYOIQ8PzgVB1+7whDrw==" workbookSaltValue="OFQxyeMrQh987R3cwmwx5A==" workbookSpinCount="100000" lockStructure="1"/>
  <bookViews>
    <workbookView xWindow="1275" yWindow="-120" windowWidth="27645" windowHeight="16440" xr2:uid="{043C4725-0B46-43F2-8EBF-EBE565279C29}"/>
  </bookViews>
  <sheets>
    <sheet name="Calculato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4" l="1"/>
  <c r="H15" i="4"/>
  <c r="E14" i="4"/>
  <c r="I13" i="4" l="1"/>
  <c r="J13" i="4" l="1"/>
  <c r="G15" i="4"/>
  <c r="G14" i="4"/>
  <c r="E16" i="4"/>
  <c r="F16" i="4" s="1"/>
  <c r="G16" i="4" s="1"/>
  <c r="E15" i="4"/>
  <c r="F15" i="4" s="1"/>
  <c r="E13" i="4"/>
  <c r="F14" i="4"/>
  <c r="B25" i="4" l="1"/>
  <c r="B32" i="4" l="1"/>
  <c r="D33" i="4"/>
  <c r="D35" i="4" s="1"/>
  <c r="G32" i="4"/>
  <c r="H32" i="4" l="1"/>
  <c r="C25" i="4" l="1"/>
  <c r="C24" i="4"/>
  <c r="B24" i="4"/>
  <c r="E33" i="4" l="1"/>
  <c r="E35" i="4" s="1"/>
  <c r="B35" i="4" l="1"/>
  <c r="C35" i="4"/>
  <c r="B33" i="4"/>
  <c r="F32" i="4"/>
  <c r="E34" i="4"/>
  <c r="D34" i="4"/>
  <c r="F13" i="4"/>
  <c r="G13" i="4" s="1"/>
  <c r="B13" i="4"/>
  <c r="C13" i="4" s="1"/>
  <c r="H16" i="4" l="1"/>
  <c r="I16" i="4"/>
  <c r="I14" i="4"/>
  <c r="I15" i="4"/>
  <c r="H14" i="4"/>
  <c r="J14" i="4"/>
  <c r="J16" i="4"/>
  <c r="H13" i="4"/>
  <c r="B34" i="4"/>
  <c r="F33" i="4"/>
  <c r="F35" i="4" s="1"/>
  <c r="F34" i="4"/>
  <c r="G34" i="4"/>
  <c r="H34" i="4" s="1"/>
  <c r="D25" i="4"/>
  <c r="E25" i="4" l="1"/>
  <c r="C34" i="4"/>
  <c r="D23" i="4"/>
  <c r="C32" i="4"/>
  <c r="D24" i="4"/>
  <c r="C33" i="4"/>
  <c r="G33" i="4"/>
  <c r="H33" i="4" l="1"/>
  <c r="G35" i="4"/>
  <c r="H35" i="4" s="1"/>
  <c r="H25" i="4"/>
  <c r="F25" i="4"/>
  <c r="E24" i="4"/>
  <c r="G25" i="4"/>
  <c r="E23" i="4"/>
  <c r="H24" i="4" l="1"/>
  <c r="F24" i="4"/>
  <c r="F23" i="4"/>
  <c r="H23" i="4"/>
  <c r="G23" i="4"/>
  <c r="G24" i="4"/>
</calcChain>
</file>

<file path=xl/sharedStrings.xml><?xml version="1.0" encoding="utf-8"?>
<sst xmlns="http://schemas.openxmlformats.org/spreadsheetml/2006/main" count="43" uniqueCount="39">
  <si>
    <t>Complete only the yellow fields - field A10 is required</t>
  </si>
  <si>
    <t>General FTE enhancement and compensation calculator overview</t>
  </si>
  <si>
    <t>Annual Salary 1 Sept 2020 @0.9 FTE</t>
  </si>
  <si>
    <t>Benefits cost on 1 Sept 2020</t>
  </si>
  <si>
    <t>Total annual salary &amp; benefit on
 1 Sept 2020</t>
  </si>
  <si>
    <t>*Amount to use as full salary in a grant application</t>
  </si>
  <si>
    <r>
      <rPr>
        <sz val="11"/>
        <rFont val="Calibri"/>
        <family val="2"/>
        <scheme val="minor"/>
      </rPr>
      <t>**</t>
    </r>
    <r>
      <rPr>
        <sz val="11"/>
        <color rgb="FFFF0000"/>
        <rFont val="Calibri"/>
        <family val="2"/>
        <scheme val="minor"/>
      </rPr>
      <t>Final amount of external funds in a grant or contract to reach 1.0 FTE</t>
    </r>
  </si>
  <si>
    <t>Fixed external funds calculator</t>
  </si>
  <si>
    <t>Type of revenue</t>
  </si>
  <si>
    <t>External salary &amp; benefit off-set</t>
  </si>
  <si>
    <t>Time period - months</t>
  </si>
  <si>
    <t>Total FTE***</t>
  </si>
  <si>
    <t>Additional GRA off-set***</t>
  </si>
  <si>
    <r>
      <t xml:space="preserve">Annual salary for </t>
    </r>
    <r>
      <rPr>
        <b/>
        <u/>
        <sz val="11"/>
        <color theme="0"/>
        <rFont val="Calibri"/>
        <family val="2"/>
        <scheme val="minor"/>
      </rPr>
      <t>duration</t>
    </r>
    <r>
      <rPr>
        <b/>
        <sz val="11"/>
        <color theme="0"/>
        <rFont val="Calibri"/>
        <family val="2"/>
        <scheme val="minor"/>
      </rPr>
      <t xml:space="preserve"> of grant or contract</t>
    </r>
  </si>
  <si>
    <t>Off-campus grant</t>
  </si>
  <si>
    <t>Campus grant</t>
  </si>
  <si>
    <t>***Any funds above 1.0 FTE will be used as GRA off-set</t>
  </si>
  <si>
    <t>Fixed FTE enhancement  calculator</t>
  </si>
  <si>
    <t>Additional funds needed to cover additional earnings, benefit off-set, indirect or institutional charge</t>
  </si>
  <si>
    <t>Total FTE</t>
  </si>
  <si>
    <t>Contract or fees</t>
  </si>
  <si>
    <t xml:space="preserve"> FTE enhancement, 0.03, 0.05, 0.08 or 0.1  ****</t>
  </si>
  <si>
    <t>**** enter only .03, .05, .08 or .1</t>
  </si>
  <si>
    <t>Salary IF external funds support an additional 0.1 FTE  (1.0 total FTE)</t>
  </si>
  <si>
    <t>Benefits cost IF external funds support an additional 0.1 FTE  (1.0 total FTE)</t>
  </si>
  <si>
    <r>
      <t>Off-campus external grant  to support 0.1 FTE  (1.0 total FTE) plus 26%  indirect, 12 month total</t>
    </r>
    <r>
      <rPr>
        <b/>
        <sz val="11"/>
        <rFont val="Calibri"/>
        <family val="2"/>
        <scheme val="minor"/>
      </rPr>
      <t>**</t>
    </r>
  </si>
  <si>
    <r>
      <t>Campus external grant  to support 0.1 FTE  (1.0 total FTE) plus 33%  indirect, 12 month total</t>
    </r>
    <r>
      <rPr>
        <b/>
        <sz val="11"/>
        <rFont val="Calibri"/>
        <family val="2"/>
        <scheme val="minor"/>
      </rPr>
      <t>**</t>
    </r>
  </si>
  <si>
    <r>
      <t>External contract or fee for service  to support 0.1 FTE  (1.0 total FTE) with institutional charge of 10%, 12 month total</t>
    </r>
    <r>
      <rPr>
        <b/>
        <sz val="11"/>
        <rFont val="Calibri"/>
        <family val="2"/>
        <scheme val="minor"/>
      </rPr>
      <t>**</t>
    </r>
  </si>
  <si>
    <t>Additional FTE of 0.03, 0.05, 0.08 or 0.1</t>
  </si>
  <si>
    <r>
      <t>Total annual salary and benefit costs IF external funds support  additional enhancement  at 0.1, 0.08, 0.05,or 0.03 FTE</t>
    </r>
    <r>
      <rPr>
        <b/>
        <sz val="12"/>
        <color rgb="FF0070C0"/>
        <rFont val="Calibri"/>
        <family val="2"/>
        <scheme val="minor"/>
      </rPr>
      <t>*</t>
    </r>
  </si>
  <si>
    <t>Calculated value of enhancement</t>
  </si>
  <si>
    <t>Contract for service</t>
  </si>
  <si>
    <t>Program area fees</t>
  </si>
  <si>
    <r>
      <t xml:space="preserve">Annual salary for </t>
    </r>
    <r>
      <rPr>
        <b/>
        <u/>
        <sz val="11"/>
        <color theme="0"/>
        <rFont val="Calibri"/>
        <family val="2"/>
        <scheme val="minor"/>
      </rPr>
      <t>duration</t>
    </r>
    <r>
      <rPr>
        <b/>
        <sz val="11"/>
        <color theme="0"/>
        <rFont val="Calibri"/>
        <family val="2"/>
        <scheme val="minor"/>
      </rPr>
      <t xml:space="preserve"> of grant or contract or program area fees</t>
    </r>
  </si>
  <si>
    <t>FTE Enhancement Estimator - director/supervisor</t>
  </si>
  <si>
    <t>Actual  FTE enhancement***</t>
  </si>
  <si>
    <t>Calculated total additional earnings</t>
  </si>
  <si>
    <r>
      <t>Amount to be included for annual salary in a grant budget or contract calculation</t>
    </r>
    <r>
      <rPr>
        <b/>
        <sz val="11"/>
        <color rgb="FF0070C0"/>
        <rFont val="Calibri"/>
        <family val="2"/>
        <scheme val="minor"/>
      </rPr>
      <t>*</t>
    </r>
  </si>
  <si>
    <t>Note - this worksheet provides a close estimate of funds needed for FTE enhancement.  Actuals will be calculated in PeopleSoft as payroll is entered.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</si>
</sst>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#,##0.0000_);\(#,##0.00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61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12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65" fontId="0" fillId="0" borderId="0" xfId="0" applyNumberFormat="1" applyFill="1" applyAlignment="1">
      <alignment horizontal="center"/>
    </xf>
    <xf numFmtId="0" fontId="5" fillId="14" borderId="4" xfId="0" applyFont="1" applyFill="1" applyBorder="1" applyAlignment="1">
      <alignment horizontal="left" wrapText="1"/>
    </xf>
    <xf numFmtId="0" fontId="5" fillId="12" borderId="4" xfId="0" applyFont="1" applyFill="1" applyBorder="1" applyAlignment="1">
      <alignment horizontal="left" wrapText="1"/>
    </xf>
    <xf numFmtId="0" fontId="5" fillId="10" borderId="4" xfId="0" applyFont="1" applyFill="1" applyBorder="1" applyAlignment="1">
      <alignment horizontal="left" wrapText="1"/>
    </xf>
    <xf numFmtId="165" fontId="5" fillId="11" borderId="4" xfId="0" applyNumberFormat="1" applyFont="1" applyFill="1" applyBorder="1" applyAlignment="1">
      <alignment horizontal="left" wrapText="1"/>
    </xf>
    <xf numFmtId="0" fontId="5" fillId="16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right"/>
    </xf>
    <xf numFmtId="166" fontId="0" fillId="5" borderId="4" xfId="0" applyNumberFormat="1" applyFill="1" applyBorder="1" applyAlignment="1">
      <alignment horizontal="center"/>
    </xf>
    <xf numFmtId="165" fontId="0" fillId="13" borderId="4" xfId="0" applyNumberFormat="1" applyFill="1" applyBorder="1" applyAlignment="1">
      <alignment horizontal="center"/>
    </xf>
    <xf numFmtId="165" fontId="0" fillId="6" borderId="4" xfId="0" applyNumberForma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39" fontId="0" fillId="5" borderId="4" xfId="0" applyNumberFormat="1" applyFill="1" applyBorder="1" applyAlignment="1">
      <alignment horizontal="center"/>
    </xf>
    <xf numFmtId="0" fontId="3" fillId="3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5" fillId="11" borderId="4" xfId="0" applyFont="1" applyFill="1" applyBorder="1" applyAlignment="1">
      <alignment horizontal="left" wrapText="1"/>
    </xf>
    <xf numFmtId="164" fontId="4" fillId="6" borderId="4" xfId="1" applyNumberFormat="1" applyFont="1" applyFill="1" applyBorder="1" applyAlignment="1">
      <alignment horizontal="center"/>
    </xf>
    <xf numFmtId="164" fontId="4" fillId="5" borderId="4" xfId="1" applyNumberFormat="1" applyFont="1" applyFill="1" applyBorder="1" applyAlignment="1">
      <alignment horizontal="center"/>
    </xf>
    <xf numFmtId="164" fontId="8" fillId="5" borderId="4" xfId="1" applyNumberFormat="1" applyFont="1" applyFill="1" applyBorder="1" applyAlignment="1">
      <alignment horizontal="center"/>
    </xf>
    <xf numFmtId="164" fontId="0" fillId="9" borderId="4" xfId="1" applyNumberFormat="1" applyFont="1" applyFill="1" applyBorder="1"/>
    <xf numFmtId="44" fontId="0" fillId="6" borderId="4" xfId="0" applyNumberFormat="1" applyFill="1" applyBorder="1" applyAlignment="1">
      <alignment horizontal="center"/>
    </xf>
    <xf numFmtId="44" fontId="0" fillId="0" borderId="0" xfId="0" applyNumberFormat="1"/>
    <xf numFmtId="164" fontId="8" fillId="17" borderId="4" xfId="1" applyNumberFormat="1" applyFont="1" applyFill="1" applyBorder="1" applyAlignment="1">
      <alignment horizontal="center"/>
    </xf>
    <xf numFmtId="164" fontId="0" fillId="0" borderId="0" xfId="0" applyNumberFormat="1" applyFill="1"/>
    <xf numFmtId="0" fontId="0" fillId="15" borderId="0" xfId="0" applyFill="1" applyAlignment="1">
      <alignment horizontal="center"/>
    </xf>
    <xf numFmtId="0" fontId="0" fillId="0" borderId="0" xfId="0" applyAlignment="1">
      <alignment horizontal="left"/>
    </xf>
    <xf numFmtId="3" fontId="9" fillId="0" borderId="0" xfId="0" applyNumberFormat="1" applyFont="1" applyAlignment="1">
      <alignment horizontal="left"/>
    </xf>
    <xf numFmtId="0" fontId="3" fillId="19" borderId="4" xfId="0" applyFont="1" applyFill="1" applyBorder="1" applyAlignment="1">
      <alignment horizontal="left" wrapText="1"/>
    </xf>
    <xf numFmtId="2" fontId="4" fillId="18" borderId="4" xfId="1" applyNumberFormat="1" applyFont="1" applyFill="1" applyBorder="1" applyAlignment="1">
      <alignment horizontal="center"/>
    </xf>
    <xf numFmtId="2" fontId="11" fillId="18" borderId="0" xfId="0" applyNumberFormat="1" applyFont="1" applyFill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11" fillId="5" borderId="4" xfId="0" applyFont="1" applyFill="1" applyBorder="1"/>
    <xf numFmtId="0" fontId="0" fillId="7" borderId="0" xfId="0" applyFill="1" applyBorder="1" applyAlignment="1">
      <alignment horizontal="right"/>
    </xf>
    <xf numFmtId="0" fontId="2" fillId="8" borderId="0" xfId="2" applyFont="1" applyFill="1" applyBorder="1" applyAlignment="1">
      <alignment horizontal="left"/>
    </xf>
    <xf numFmtId="164" fontId="4" fillId="8" borderId="4" xfId="1" applyNumberFormat="1" applyFont="1" applyFill="1" applyBorder="1" applyAlignment="1" applyProtection="1">
      <alignment horizontal="center"/>
      <protection locked="0"/>
    </xf>
    <xf numFmtId="165" fontId="0" fillId="8" borderId="4" xfId="0" applyNumberFormat="1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horizontal="center"/>
      <protection locked="0"/>
    </xf>
    <xf numFmtId="39" fontId="0" fillId="8" borderId="4" xfId="0" applyNumberFormat="1" applyFill="1" applyBorder="1" applyAlignment="1" applyProtection="1">
      <alignment horizontal="center"/>
      <protection locked="0"/>
    </xf>
    <xf numFmtId="0" fontId="2" fillId="8" borderId="2" xfId="2" applyFont="1" applyFill="1" applyBorder="1" applyAlignment="1"/>
    <xf numFmtId="0" fontId="2" fillId="8" borderId="0" xfId="2" applyFont="1" applyFill="1" applyBorder="1" applyAlignment="1"/>
    <xf numFmtId="0" fontId="0" fillId="0" borderId="0" xfId="0" applyAlignment="1">
      <alignment horizontal="left"/>
    </xf>
    <xf numFmtId="0" fontId="0" fillId="15" borderId="0" xfId="0" applyFill="1" applyAlignment="1">
      <alignment horizontal="center"/>
    </xf>
    <xf numFmtId="0" fontId="6" fillId="0" borderId="3" xfId="0" applyFont="1" applyBorder="1" applyAlignment="1">
      <alignment horizontal="left"/>
    </xf>
    <xf numFmtId="3" fontId="9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0" fillId="15" borderId="0" xfId="0" applyFill="1" applyAlignment="1">
      <alignment horizontal="center" vertical="center"/>
    </xf>
    <xf numFmtId="0" fontId="14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7C9C-8ECB-4058-B7DE-2C8A9BF7E62E}">
  <sheetPr>
    <pageSetUpPr fitToPage="1"/>
  </sheetPr>
  <dimension ref="A1:M40"/>
  <sheetViews>
    <sheetView tabSelected="1" topLeftCell="A11" zoomScale="70" zoomScaleNormal="70" workbookViewId="0">
      <selection activeCell="O31" sqref="O31"/>
    </sheetView>
  </sheetViews>
  <sheetFormatPr defaultRowHeight="15" x14ac:dyDescent="0.25"/>
  <cols>
    <col min="1" max="1" width="19.7109375" style="3" customWidth="1"/>
    <col min="2" max="11" width="15.7109375" style="3" customWidth="1"/>
    <col min="12" max="15" width="15.7109375" customWidth="1"/>
  </cols>
  <sheetData>
    <row r="1" spans="1:13" ht="51.75" customHeight="1" thickBot="1" x14ac:dyDescent="0.55000000000000004">
      <c r="A1" s="56" t="s">
        <v>34</v>
      </c>
      <c r="B1" s="56"/>
      <c r="C1" s="56"/>
      <c r="D1" s="56"/>
      <c r="E1" s="56"/>
      <c r="F1" s="56"/>
      <c r="G1" s="56"/>
    </row>
    <row r="2" spans="1:13" ht="15" customHeight="1" thickTop="1" x14ac:dyDescent="0.5">
      <c r="A2" s="8"/>
      <c r="B2" s="8"/>
      <c r="C2" s="8"/>
      <c r="D2" s="8"/>
      <c r="E2" s="8"/>
      <c r="F2" s="8"/>
      <c r="G2" s="8"/>
    </row>
    <row r="3" spans="1:13" ht="15" customHeight="1" x14ac:dyDescent="0.25">
      <c r="A3" s="60" t="s">
        <v>38</v>
      </c>
      <c r="B3" s="60"/>
      <c r="C3" s="60"/>
      <c r="D3" s="60"/>
      <c r="E3" s="60"/>
      <c r="F3" s="60"/>
      <c r="G3" s="60"/>
    </row>
    <row r="4" spans="1:13" ht="15" customHeight="1" x14ac:dyDescent="0.25">
      <c r="A4" s="60"/>
      <c r="B4" s="60"/>
      <c r="C4" s="60"/>
      <c r="D4" s="60"/>
      <c r="E4" s="60"/>
      <c r="F4" s="60"/>
      <c r="G4" s="60"/>
    </row>
    <row r="5" spans="1:13" ht="15" customHeight="1" x14ac:dyDescent="0.25">
      <c r="A5" s="60"/>
      <c r="B5" s="60"/>
      <c r="C5" s="60"/>
      <c r="D5" s="60"/>
      <c r="E5" s="60"/>
      <c r="F5" s="60"/>
      <c r="G5" s="60"/>
    </row>
    <row r="6" spans="1:13" ht="15" customHeight="1" x14ac:dyDescent="0.5">
      <c r="A6" s="8"/>
      <c r="B6" s="8"/>
      <c r="C6" s="8"/>
      <c r="D6" s="8"/>
      <c r="E6" s="8"/>
      <c r="F6" s="8"/>
      <c r="G6" s="8"/>
    </row>
    <row r="7" spans="1:13" x14ac:dyDescent="0.25">
      <c r="A7" s="52" t="s">
        <v>0</v>
      </c>
      <c r="B7" s="53"/>
      <c r="C7" s="53"/>
      <c r="D7" s="47"/>
      <c r="E7"/>
      <c r="F7"/>
      <c r="G7"/>
      <c r="H7"/>
      <c r="I7"/>
      <c r="J7"/>
      <c r="K7"/>
    </row>
    <row r="8" spans="1:13" ht="15" customHeight="1" x14ac:dyDescent="0.5">
      <c r="A8" s="8"/>
      <c r="B8" s="8"/>
      <c r="C8" s="8"/>
      <c r="D8" s="8"/>
      <c r="E8" s="8"/>
      <c r="F8" s="8"/>
      <c r="G8" s="8"/>
    </row>
    <row r="9" spans="1:13" ht="15" customHeight="1" x14ac:dyDescent="0.5">
      <c r="A9" s="8"/>
      <c r="B9" s="8"/>
      <c r="C9" s="8"/>
      <c r="D9" s="8"/>
      <c r="E9" s="8"/>
      <c r="F9" s="8"/>
      <c r="G9" s="8"/>
    </row>
    <row r="10" spans="1:13" ht="15" customHeight="1" x14ac:dyDescent="0.5">
      <c r="A10" s="59" t="s">
        <v>1</v>
      </c>
      <c r="B10" s="59"/>
      <c r="C10" s="59"/>
      <c r="D10" s="59"/>
      <c r="E10" s="59"/>
      <c r="F10" s="59"/>
      <c r="G10" s="11"/>
      <c r="H10" s="12"/>
      <c r="I10" s="12"/>
      <c r="J10" s="12"/>
      <c r="K10" s="12"/>
      <c r="L10" s="13"/>
    </row>
    <row r="11" spans="1:13" ht="15" customHeight="1" x14ac:dyDescent="0.5">
      <c r="A11" s="8"/>
      <c r="B11" s="8"/>
      <c r="C11" s="8"/>
      <c r="D11" s="8"/>
      <c r="E11" s="8"/>
      <c r="F11" s="8"/>
      <c r="G11" s="8"/>
    </row>
    <row r="12" spans="1:13" s="2" customFormat="1" ht="157.5" x14ac:dyDescent="0.25">
      <c r="A12" s="27" t="s">
        <v>2</v>
      </c>
      <c r="B12" s="27" t="s">
        <v>3</v>
      </c>
      <c r="C12" s="27" t="s">
        <v>4</v>
      </c>
      <c r="D12" s="41" t="s">
        <v>28</v>
      </c>
      <c r="E12" s="28" t="s">
        <v>23</v>
      </c>
      <c r="F12" s="28" t="s">
        <v>24</v>
      </c>
      <c r="G12" s="28" t="s">
        <v>29</v>
      </c>
      <c r="H12" s="29" t="s">
        <v>25</v>
      </c>
      <c r="I12" s="29" t="s">
        <v>26</v>
      </c>
      <c r="J12" s="29" t="s">
        <v>27</v>
      </c>
    </row>
    <row r="13" spans="1:13" s="1" customFormat="1" ht="30.75" customHeight="1" x14ac:dyDescent="0.25">
      <c r="A13" s="48">
        <v>47500</v>
      </c>
      <c r="B13" s="30">
        <f>10500+SUM(14.96%*A13)+SUM(7.65%*A13)</f>
        <v>21239.75</v>
      </c>
      <c r="C13" s="30">
        <f>SUM(A13,B13)</f>
        <v>68739.75</v>
      </c>
      <c r="D13" s="42">
        <v>0.1</v>
      </c>
      <c r="E13" s="31">
        <f>$A$13*(1+D13)</f>
        <v>52250.000000000007</v>
      </c>
      <c r="F13" s="31">
        <f>10500+SUM(14.96%*E13)+SUM(7.65%*E13)</f>
        <v>22313.725000000002</v>
      </c>
      <c r="G13" s="32">
        <f>SUM(E13,F13)</f>
        <v>74563.725000000006</v>
      </c>
      <c r="H13" s="33">
        <f>(G13-$C$13)*1.26</f>
        <v>7338.208500000007</v>
      </c>
      <c r="I13" s="33">
        <f>(G13-$C$13)*1.33</f>
        <v>7745.8867500000079</v>
      </c>
      <c r="J13" s="33">
        <f>(G13-$C$13)*1.1</f>
        <v>6406.3725000000068</v>
      </c>
    </row>
    <row r="14" spans="1:13" ht="15.75" x14ac:dyDescent="0.25">
      <c r="D14" s="43">
        <v>0.08</v>
      </c>
      <c r="E14" s="31">
        <f>$A$13*(1+D14)</f>
        <v>51300</v>
      </c>
      <c r="F14" s="31">
        <f t="shared" ref="F14:F16" si="0">10500+SUM(14.96%*E14)+SUM(7.65%*E14)</f>
        <v>22098.93</v>
      </c>
      <c r="G14" s="32">
        <f t="shared" ref="G14:G16" si="1">SUM(E14,F14)</f>
        <v>73398.929999999993</v>
      </c>
      <c r="H14" s="33">
        <f t="shared" ref="H14:H16" si="2">(G14-$C$13)*1.26</f>
        <v>5870.5667999999914</v>
      </c>
      <c r="I14" s="33">
        <f t="shared" ref="I14:I16" si="3">(G14-$C$13)*1.33</f>
        <v>6196.7093999999906</v>
      </c>
      <c r="J14" s="33">
        <f t="shared" ref="J14:J16" si="4">(G14-$C$13)*1.1</f>
        <v>5125.0979999999927</v>
      </c>
      <c r="L14" s="5"/>
      <c r="M14" s="1"/>
    </row>
    <row r="15" spans="1:13" ht="15.75" x14ac:dyDescent="0.25">
      <c r="D15" s="43">
        <v>0.05</v>
      </c>
      <c r="E15" s="31">
        <f t="shared" ref="E14:E16" si="5">$A$13*(1+D15)</f>
        <v>49875</v>
      </c>
      <c r="F15" s="31">
        <f t="shared" si="0"/>
        <v>21776.737499999999</v>
      </c>
      <c r="G15" s="32">
        <f t="shared" si="1"/>
        <v>71651.737500000003</v>
      </c>
      <c r="H15" s="33">
        <f>(G15-$C$13)*1.26</f>
        <v>3669.1042500000035</v>
      </c>
      <c r="I15" s="33">
        <f t="shared" si="3"/>
        <v>3872.9433750000039</v>
      </c>
      <c r="J15" s="33">
        <f>(G15-$C$13)*1.1</f>
        <v>3203.1862500000034</v>
      </c>
      <c r="L15" s="5"/>
      <c r="M15" s="1"/>
    </row>
    <row r="16" spans="1:13" ht="15.75" x14ac:dyDescent="0.25">
      <c r="A16" s="40"/>
      <c r="B16" s="40"/>
      <c r="C16" s="40"/>
      <c r="D16" s="43">
        <v>0.03</v>
      </c>
      <c r="E16" s="31">
        <f t="shared" si="5"/>
        <v>48925</v>
      </c>
      <c r="F16" s="31">
        <f t="shared" si="0"/>
        <v>21561.942500000001</v>
      </c>
      <c r="G16" s="32">
        <f t="shared" si="1"/>
        <v>70486.942500000005</v>
      </c>
      <c r="H16" s="33">
        <f t="shared" si="2"/>
        <v>2201.4625500000061</v>
      </c>
      <c r="I16" s="33">
        <f t="shared" si="3"/>
        <v>2323.7660250000063</v>
      </c>
      <c r="J16" s="33">
        <f t="shared" si="4"/>
        <v>1921.9117500000052</v>
      </c>
      <c r="L16" s="5"/>
      <c r="M16" s="1"/>
    </row>
    <row r="17" spans="1:13" x14ac:dyDescent="0.25">
      <c r="A17" s="57" t="s">
        <v>5</v>
      </c>
      <c r="B17" s="57"/>
      <c r="C17" s="57"/>
      <c r="D17" s="40"/>
      <c r="E17" s="9"/>
      <c r="G17" s="4"/>
      <c r="L17" s="5"/>
      <c r="M17" s="1"/>
    </row>
    <row r="18" spans="1:13" x14ac:dyDescent="0.25">
      <c r="A18" s="58" t="s">
        <v>6</v>
      </c>
      <c r="B18" s="58"/>
      <c r="C18" s="58"/>
      <c r="D18" s="58"/>
      <c r="E18" s="58"/>
      <c r="G18" s="4"/>
      <c r="H18" s="4"/>
      <c r="L18" s="5"/>
      <c r="M18" s="5"/>
    </row>
    <row r="19" spans="1:13" x14ac:dyDescent="0.25">
      <c r="H19" s="4"/>
      <c r="L19" s="5"/>
      <c r="M19" s="5"/>
    </row>
    <row r="20" spans="1:13" x14ac:dyDescent="0.25">
      <c r="A20" s="55" t="s">
        <v>7</v>
      </c>
      <c r="B20" s="55"/>
      <c r="C20" s="55"/>
      <c r="D20" s="38"/>
      <c r="E20" s="14"/>
      <c r="F20" s="14"/>
      <c r="G20" s="14"/>
      <c r="H20" s="14"/>
      <c r="I20" s="14"/>
      <c r="J20" s="12"/>
      <c r="K20" s="12"/>
      <c r="L20" s="37"/>
    </row>
    <row r="22" spans="1:13" s="2" customFormat="1" ht="45" x14ac:dyDescent="0.25">
      <c r="A22" s="16" t="s">
        <v>8</v>
      </c>
      <c r="B22" s="17" t="s">
        <v>9</v>
      </c>
      <c r="C22" s="17" t="s">
        <v>10</v>
      </c>
      <c r="D22" s="18" t="s">
        <v>30</v>
      </c>
      <c r="E22" s="18" t="s">
        <v>35</v>
      </c>
      <c r="F22" s="18" t="s">
        <v>11</v>
      </c>
      <c r="G22" s="18" t="s">
        <v>12</v>
      </c>
      <c r="H22" s="19" t="s">
        <v>13</v>
      </c>
      <c r="I22" s="5"/>
      <c r="J22" s="5"/>
      <c r="K22" s="6"/>
    </row>
    <row r="23" spans="1:13" x14ac:dyDescent="0.25">
      <c r="A23" s="21" t="s">
        <v>14</v>
      </c>
      <c r="B23" s="49">
        <v>8000</v>
      </c>
      <c r="C23" s="50">
        <v>12</v>
      </c>
      <c r="D23" s="22">
        <f>((($B$23/$C$23)*12)/$H$13)*0.1</f>
        <v>0.10901843413143675</v>
      </c>
      <c r="E23" s="45">
        <f>_xlfn.IFS(D23&lt;0.03,0,D23&lt;0.05,0.03,D23&lt;0.08,0.05,D23&lt;0.1,0.08,D23=0.1,0.1,D23&gt;0.1,0.1)</f>
        <v>0.1</v>
      </c>
      <c r="F23" s="22">
        <f>0.9+E23</f>
        <v>1</v>
      </c>
      <c r="G23" s="44">
        <f>($A$13*(D23-E23))</f>
        <v>428.37562124324523</v>
      </c>
      <c r="H23" s="23">
        <f>$A$13*(1+E23)</f>
        <v>52250.000000000007</v>
      </c>
      <c r="I23" s="5"/>
      <c r="J23" s="5"/>
      <c r="K23" s="15"/>
    </row>
    <row r="24" spans="1:13" x14ac:dyDescent="0.25">
      <c r="A24" s="21" t="s">
        <v>15</v>
      </c>
      <c r="B24" s="24">
        <f>B23</f>
        <v>8000</v>
      </c>
      <c r="C24" s="25">
        <f>C23</f>
        <v>12</v>
      </c>
      <c r="D24" s="22">
        <f>((($B$23/$C$23)*12)/$I$13)*0.1</f>
        <v>0.10328062180872954</v>
      </c>
      <c r="E24" s="45">
        <f t="shared" ref="E24:E25" si="6">_xlfn.IFS(D24&lt;0.03,0,D24&lt;0.05,0.03,D24&lt;0.08,0.05,D24&lt;0.1,0.08,D24=0.1,0.1,D24&gt;0.1,0.1)</f>
        <v>0.1</v>
      </c>
      <c r="F24" s="22">
        <f>0.9+E24</f>
        <v>1</v>
      </c>
      <c r="G24" s="44">
        <f t="shared" ref="G24:G25" si="7">($A$13*(D24-E24))</f>
        <v>155.82953591465312</v>
      </c>
      <c r="H24" s="23">
        <f t="shared" ref="H24:H25" si="8">$A$13*(1+E24)</f>
        <v>52250.000000000007</v>
      </c>
      <c r="I24" s="5"/>
      <c r="J24" s="5"/>
      <c r="K24" s="15"/>
    </row>
    <row r="25" spans="1:13" x14ac:dyDescent="0.25">
      <c r="A25" s="21" t="s">
        <v>31</v>
      </c>
      <c r="B25" s="24">
        <f>B23</f>
        <v>8000</v>
      </c>
      <c r="C25" s="25">
        <f>C23</f>
        <v>12</v>
      </c>
      <c r="D25" s="22">
        <f>((($B$25/$C$25)*12)/$J$13)*0.1</f>
        <v>0.12487566091419118</v>
      </c>
      <c r="E25" s="45">
        <f t="shared" si="6"/>
        <v>0.1</v>
      </c>
      <c r="F25" s="22">
        <f>0.9+E25</f>
        <v>1</v>
      </c>
      <c r="G25" s="44">
        <f t="shared" si="7"/>
        <v>1181.5938934240808</v>
      </c>
      <c r="H25" s="23">
        <f t="shared" si="8"/>
        <v>52250.000000000007</v>
      </c>
      <c r="I25"/>
      <c r="J25"/>
    </row>
    <row r="26" spans="1:13" x14ac:dyDescent="0.25">
      <c r="A26" s="54" t="s">
        <v>16</v>
      </c>
      <c r="B26" s="54"/>
      <c r="C26" s="54"/>
      <c r="D26" s="54"/>
      <c r="E26" s="54"/>
      <c r="G26" s="7"/>
      <c r="H26" s="12"/>
      <c r="I26" s="13"/>
      <c r="J26"/>
    </row>
    <row r="27" spans="1:13" x14ac:dyDescent="0.25">
      <c r="G27" s="7"/>
      <c r="I27"/>
      <c r="J27"/>
    </row>
    <row r="28" spans="1:13" x14ac:dyDescent="0.25">
      <c r="G28" s="7"/>
    </row>
    <row r="29" spans="1:13" x14ac:dyDescent="0.25">
      <c r="A29" s="55" t="s">
        <v>17</v>
      </c>
      <c r="B29" s="55"/>
      <c r="C29" s="55"/>
      <c r="D29" s="38"/>
      <c r="E29" s="14"/>
      <c r="F29" s="12"/>
      <c r="G29" s="15"/>
      <c r="H29" s="12"/>
      <c r="I29" s="12"/>
    </row>
    <row r="30" spans="1:13" x14ac:dyDescent="0.25">
      <c r="G30" s="7"/>
    </row>
    <row r="31" spans="1:13" ht="135" x14ac:dyDescent="0.25">
      <c r="A31" s="16" t="s">
        <v>8</v>
      </c>
      <c r="B31" s="10" t="s">
        <v>36</v>
      </c>
      <c r="C31" s="17" t="s">
        <v>18</v>
      </c>
      <c r="D31" s="17" t="s">
        <v>10</v>
      </c>
      <c r="E31" s="18" t="s">
        <v>21</v>
      </c>
      <c r="F31" s="18" t="s">
        <v>19</v>
      </c>
      <c r="G31" s="19" t="s">
        <v>33</v>
      </c>
      <c r="H31" s="20" t="s">
        <v>37</v>
      </c>
    </row>
    <row r="32" spans="1:13" ht="15.75" x14ac:dyDescent="0.25">
      <c r="A32" s="21" t="s">
        <v>14</v>
      </c>
      <c r="B32" s="34">
        <f>($A$13*E32)*(D32/12)</f>
        <v>4750</v>
      </c>
      <c r="C32" s="24">
        <f>($H$13*(E32*10))*(D32/12)</f>
        <v>7338.208500000007</v>
      </c>
      <c r="D32" s="50">
        <v>12</v>
      </c>
      <c r="E32" s="51">
        <v>0.1</v>
      </c>
      <c r="F32" s="22">
        <f>0.9+$E$32</f>
        <v>1</v>
      </c>
      <c r="G32" s="23">
        <f>($A$13*(1+$E$32))</f>
        <v>52250.000000000007</v>
      </c>
      <c r="H32" s="36">
        <f>(10500+SUM(14.96%*G32)+SUM(7.65%*G32))+G32</f>
        <v>74563.725000000006</v>
      </c>
      <c r="J32" s="4"/>
      <c r="K32" s="4"/>
      <c r="L32" s="35"/>
    </row>
    <row r="33" spans="1:8" ht="15.75" x14ac:dyDescent="0.25">
      <c r="A33" s="21" t="s">
        <v>15</v>
      </c>
      <c r="B33" s="34">
        <f>($A$13*E33)*(D33/12)</f>
        <v>4750</v>
      </c>
      <c r="C33" s="24">
        <f>($I$13*(E33*10))*(D33/12)</f>
        <v>7745.8867500000079</v>
      </c>
      <c r="D33" s="25">
        <f>D32</f>
        <v>12</v>
      </c>
      <c r="E33" s="26">
        <f>E32</f>
        <v>0.1</v>
      </c>
      <c r="F33" s="22">
        <f>F32</f>
        <v>1</v>
      </c>
      <c r="G33" s="23">
        <f>G32</f>
        <v>52250.000000000007</v>
      </c>
      <c r="H33" s="36">
        <f t="shared" ref="H33:H34" si="9">(10500+SUM(14.96%*G33)+SUM(7.65%*G33))+G33</f>
        <v>74563.725000000006</v>
      </c>
    </row>
    <row r="34" spans="1:8" ht="15.75" x14ac:dyDescent="0.25">
      <c r="A34" s="21" t="s">
        <v>20</v>
      </c>
      <c r="B34" s="34">
        <f>($A$13*E34)*(D34/12)</f>
        <v>4750</v>
      </c>
      <c r="C34" s="24">
        <f>($J$13*(E34*10))*(D34/12)</f>
        <v>6406.3725000000068</v>
      </c>
      <c r="D34" s="25">
        <f t="shared" ref="D34:G35" si="10">D32</f>
        <v>12</v>
      </c>
      <c r="E34" s="26">
        <f t="shared" si="10"/>
        <v>0.1</v>
      </c>
      <c r="F34" s="22">
        <f t="shared" si="10"/>
        <v>1</v>
      </c>
      <c r="G34" s="23">
        <f t="shared" si="10"/>
        <v>52250.000000000007</v>
      </c>
      <c r="H34" s="36">
        <f t="shared" si="9"/>
        <v>74563.725000000006</v>
      </c>
    </row>
    <row r="35" spans="1:8" ht="15.75" x14ac:dyDescent="0.25">
      <c r="A35" s="46" t="s">
        <v>32</v>
      </c>
      <c r="B35" s="34">
        <f>($A$13*E35)*(D35/12)</f>
        <v>4750</v>
      </c>
      <c r="C35" s="24">
        <f>((G13-$C$13)*(E35*10))*(D35/12)</f>
        <v>5823.9750000000058</v>
      </c>
      <c r="D35" s="25">
        <f t="shared" si="10"/>
        <v>12</v>
      </c>
      <c r="E35" s="26">
        <f t="shared" si="10"/>
        <v>0.1</v>
      </c>
      <c r="F35" s="22">
        <f t="shared" si="10"/>
        <v>1</v>
      </c>
      <c r="G35" s="23">
        <f t="shared" si="10"/>
        <v>52250.000000000007</v>
      </c>
      <c r="H35" s="36">
        <f t="shared" ref="H35" si="11">(10500+SUM(14.96%*G35)+SUM(7.65%*G35))+G35</f>
        <v>74563.725000000006</v>
      </c>
    </row>
    <row r="37" spans="1:8" x14ac:dyDescent="0.25">
      <c r="A37" s="54" t="s">
        <v>22</v>
      </c>
      <c r="B37" s="54"/>
      <c r="C37" s="54"/>
      <c r="D37" s="39"/>
    </row>
    <row r="38" spans="1:8" x14ac:dyDescent="0.25">
      <c r="H38" s="4"/>
    </row>
    <row r="40" spans="1:8" x14ac:dyDescent="0.25">
      <c r="H40" s="4"/>
    </row>
  </sheetData>
  <sheetProtection algorithmName="SHA-512" hashValue="piUIlWvenhExKotPIsXHrFM0nQG+/hcq6/PI0n5wJzx+Xx9xltVjpvkoYfdYcGlY2U3c2hg2gOFx89229xtJ1w==" saltValue="VSfjA9ZYdLTUdbe/yCz08Q==" spinCount="100000" sheet="1" objects="1" scenarios="1"/>
  <mergeCells count="9">
    <mergeCell ref="A37:C37"/>
    <mergeCell ref="A20:C20"/>
    <mergeCell ref="A29:C29"/>
    <mergeCell ref="A1:G1"/>
    <mergeCell ref="A26:E26"/>
    <mergeCell ref="A17:C17"/>
    <mergeCell ref="A18:E18"/>
    <mergeCell ref="A10:F10"/>
    <mergeCell ref="A3:G5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978D293550EE408BBA80E379FB1048" ma:contentTypeVersion="7" ma:contentTypeDescription="Create a new document." ma:contentTypeScope="" ma:versionID="f4ac32ca789715382eb24b1b792b7c83">
  <xsd:schema xmlns:xsd="http://www.w3.org/2001/XMLSchema" xmlns:xs="http://www.w3.org/2001/XMLSchema" xmlns:p="http://schemas.microsoft.com/office/2006/metadata/properties" xmlns:ns3="4094fec7-eb86-4f33-885f-f4ec69534214" xmlns:ns4="73a3dab4-b00d-4a1f-a26d-4395bc4ed9d3" targetNamespace="http://schemas.microsoft.com/office/2006/metadata/properties" ma:root="true" ma:fieldsID="bec4785b70c4b67524308fa97d59a4cd" ns3:_="" ns4:_="">
    <xsd:import namespace="4094fec7-eb86-4f33-885f-f4ec69534214"/>
    <xsd:import namespace="73a3dab4-b00d-4a1f-a26d-4395bc4ed9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4fec7-eb86-4f33-885f-f4ec69534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3dab4-b00d-4a1f-a26d-4395bc4ed9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14114A-B157-4049-8D2C-657682A437CD}">
  <ds:schemaRefs>
    <ds:schemaRef ds:uri="http://purl.org/dc/elements/1.1/"/>
    <ds:schemaRef ds:uri="http://purl.org/dc/terms/"/>
    <ds:schemaRef ds:uri="4094fec7-eb86-4f33-885f-f4ec69534214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73a3dab4-b00d-4a1f-a26d-4395bc4ed9d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AF86C25-93DA-4E88-8562-C97885E12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94fec7-eb86-4f33-885f-f4ec69534214"/>
    <ds:schemaRef ds:uri="73a3dab4-b00d-4a1f-a26d-4395bc4ed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36244-6964-484C-A789-75B7E5D67A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Kallenbach, Robert</dc:creator>
  <cp:keywords/>
  <dc:description/>
  <cp:lastModifiedBy>Stewart, Mark A.</cp:lastModifiedBy>
  <cp:revision/>
  <dcterms:created xsi:type="dcterms:W3CDTF">2020-06-23T17:43:20Z</dcterms:created>
  <dcterms:modified xsi:type="dcterms:W3CDTF">2020-11-02T20:28:35Z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0x01010028978D293550EE408BBA80E379FB1048</vt:lpwstr>
  </property>
</Properties>
</file>